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225" windowWidth="14880" windowHeight="9345"/>
  </bookViews>
  <sheets>
    <sheet name="Données" sheetId="1" r:id="rId1"/>
    <sheet name="Qa" sheetId="4" r:id="rId2"/>
    <sheet name="Qb-Calculs" sheetId="2" r:id="rId3"/>
    <sheet name="id_feuilglobl" sheetId="8" state="veryHidden" r:id="rId4"/>
    <sheet name="id_feuilarbre" sheetId="7" state="veryHidden" r:id="rId5"/>
    <sheet name="Qb-Arbre" sheetId="6" r:id="rId6"/>
    <sheet name="Qc-Calculs" sheetId="5" r:id="rId7"/>
    <sheet name="Qc-Arbre" sheetId="10" r:id="rId8"/>
  </sheets>
  <definedNames>
    <definedName name="Fr">Données!$B$25</definedName>
    <definedName name="PbF">Données!$B$34</definedName>
    <definedName name="PbM">Données!$B$33</definedName>
    <definedName name="PbS">Données!$B$32</definedName>
    <definedName name="RF">Données!$B$28</definedName>
    <definedName name="RM">Données!$B$27</definedName>
    <definedName name="RS">Données!$B$26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Q36" i="10" l="1"/>
  <c r="Q32" i="10"/>
  <c r="Q28" i="10"/>
  <c r="Q10" i="10"/>
  <c r="M10" i="10" s="1"/>
  <c r="J16" i="7"/>
  <c r="S37" i="10"/>
  <c r="Q38" i="10" s="1"/>
  <c r="J15" i="7"/>
  <c r="S33" i="10"/>
  <c r="Q34" i="10" s="1"/>
  <c r="J14" i="7"/>
  <c r="S29" i="10"/>
  <c r="Q30" i="10" s="1"/>
  <c r="J13" i="7"/>
  <c r="S25" i="10"/>
  <c r="Q26" i="10" s="1"/>
  <c r="M26" i="10" s="1"/>
  <c r="J12" i="7"/>
  <c r="S9" i="10"/>
  <c r="J9" i="7"/>
  <c r="S21" i="10"/>
  <c r="Q22" i="10" s="1"/>
  <c r="J8" i="7"/>
  <c r="S17" i="10"/>
  <c r="Q18" i="10" s="1"/>
  <c r="J7" i="7"/>
  <c r="S13" i="10"/>
  <c r="Q14" i="10" s="1"/>
  <c r="M18" i="10" s="1"/>
  <c r="M11" i="7"/>
  <c r="J11" i="7"/>
  <c r="M10" i="7"/>
  <c r="J10" i="7"/>
  <c r="M6" i="7"/>
  <c r="J6" i="7"/>
  <c r="M5" i="7"/>
  <c r="J5" i="7"/>
  <c r="M4" i="7"/>
  <c r="J4" i="7"/>
  <c r="M3" i="7"/>
  <c r="J3" i="7"/>
  <c r="M2" i="7"/>
  <c r="J2" i="7"/>
  <c r="M1" i="7"/>
  <c r="J1" i="7"/>
  <c r="M16" i="7"/>
  <c r="M15" i="7"/>
  <c r="M14" i="7"/>
  <c r="M13" i="7"/>
  <c r="M12" i="7"/>
  <c r="M9" i="7"/>
  <c r="M8" i="7"/>
  <c r="M7" i="7"/>
  <c r="Q48" i="6"/>
  <c r="Q44" i="6"/>
  <c r="Q40" i="6"/>
  <c r="Q32" i="6"/>
  <c r="Q28" i="6"/>
  <c r="Q24" i="6"/>
  <c r="S17" i="6"/>
  <c r="Q18" i="6" s="1"/>
  <c r="S13" i="6"/>
  <c r="Q14" i="6" s="1"/>
  <c r="S9" i="6"/>
  <c r="Q10" i="6" s="1"/>
  <c r="M14" i="6" s="1"/>
  <c r="S5" i="6"/>
  <c r="Q6" i="6" s="1"/>
  <c r="M6" i="6" s="1"/>
  <c r="S33" i="6"/>
  <c r="Q34" i="6" s="1"/>
  <c r="S29" i="6"/>
  <c r="Q30" i="6" s="1"/>
  <c r="S25" i="6"/>
  <c r="Q26" i="6" s="1"/>
  <c r="S21" i="6"/>
  <c r="Q22" i="6" s="1"/>
  <c r="M22" i="6" s="1"/>
  <c r="S49" i="6"/>
  <c r="Q50" i="6" s="1"/>
  <c r="S45" i="6"/>
  <c r="Q46" i="6" s="1"/>
  <c r="S41" i="6"/>
  <c r="Q42" i="6" s="1"/>
  <c r="M46" i="6" s="1"/>
  <c r="S37" i="6"/>
  <c r="Q38" i="6" s="1"/>
  <c r="M38" i="6" s="1"/>
  <c r="E46" i="5"/>
  <c r="E46" i="2"/>
  <c r="E28" i="5"/>
  <c r="E27" i="5"/>
  <c r="E26" i="5"/>
  <c r="H12" i="5"/>
  <c r="G12" i="5"/>
  <c r="F12" i="5"/>
  <c r="H7" i="5"/>
  <c r="H16" i="5" s="1"/>
  <c r="G7" i="5"/>
  <c r="G16" i="5" s="1"/>
  <c r="F7" i="5"/>
  <c r="F16" i="5" s="1"/>
  <c r="E28" i="2"/>
  <c r="E27" i="2"/>
  <c r="E26" i="2"/>
  <c r="H7" i="2"/>
  <c r="G7" i="2"/>
  <c r="F7" i="2"/>
  <c r="C7" i="4"/>
  <c r="C8" i="4"/>
  <c r="C6" i="4"/>
  <c r="M34" i="10" l="1"/>
  <c r="I14" i="10"/>
  <c r="J13" i="10" s="1"/>
  <c r="I30" i="10"/>
  <c r="J29" i="10" s="1"/>
  <c r="M30" i="6"/>
  <c r="I26" i="6" s="1"/>
  <c r="J25" i="6" s="1"/>
  <c r="I10" i="6"/>
  <c r="J9" i="6" s="1"/>
  <c r="E10" i="6"/>
  <c r="I42" i="6"/>
  <c r="J41" i="6" s="1"/>
  <c r="G15" i="5"/>
  <c r="I16" i="5"/>
  <c r="F21" i="5" s="1"/>
  <c r="E33" i="5"/>
  <c r="E40" i="5" s="1"/>
  <c r="G17" i="5"/>
  <c r="I7" i="5"/>
  <c r="F15" i="5"/>
  <c r="H15" i="5"/>
  <c r="C13" i="4"/>
  <c r="E33" i="2"/>
  <c r="E40" i="2" s="1"/>
  <c r="G16" i="2"/>
  <c r="G15" i="2"/>
  <c r="E22" i="10" l="1"/>
  <c r="A22" i="10" s="1"/>
  <c r="B21" i="10" s="1"/>
  <c r="E34" i="6"/>
  <c r="A22" i="6" s="1"/>
  <c r="B21" i="6" s="1"/>
  <c r="H21" i="5"/>
  <c r="H17" i="5"/>
  <c r="F17" i="5"/>
  <c r="I15" i="5"/>
  <c r="G21" i="5"/>
  <c r="I21" i="5" s="1"/>
  <c r="G17" i="2"/>
  <c r="G12" i="2"/>
  <c r="H16" i="2"/>
  <c r="F16" i="2"/>
  <c r="H15" i="2"/>
  <c r="F15" i="2"/>
  <c r="F17" i="2" s="1"/>
  <c r="H12" i="2"/>
  <c r="F12" i="2"/>
  <c r="I7" i="2"/>
  <c r="I17" i="5" l="1"/>
  <c r="G20" i="5"/>
  <c r="E37" i="5"/>
  <c r="E42" i="5" s="1"/>
  <c r="F20" i="5"/>
  <c r="H20" i="5"/>
  <c r="H17" i="2"/>
  <c r="I17" i="2" s="1"/>
  <c r="I16" i="2"/>
  <c r="I15" i="2"/>
  <c r="E35" i="5" l="1"/>
  <c r="E41" i="5" s="1"/>
  <c r="E44" i="5" s="1"/>
  <c r="I20" i="5"/>
  <c r="H20" i="2"/>
  <c r="G20" i="2"/>
  <c r="F21" i="2"/>
  <c r="G21" i="2"/>
  <c r="H21" i="2"/>
  <c r="F20" i="2"/>
  <c r="I20" i="2" l="1"/>
  <c r="E35" i="2"/>
  <c r="E41" i="2" s="1"/>
  <c r="E44" i="2" s="1"/>
  <c r="E37" i="2"/>
  <c r="E42" i="2" s="1"/>
  <c r="I21" i="2"/>
</calcChain>
</file>

<file path=xl/sharedStrings.xml><?xml version="1.0" encoding="utf-8"?>
<sst xmlns="http://schemas.openxmlformats.org/spreadsheetml/2006/main" count="215" uniqueCount="60">
  <si>
    <r>
      <t>Calcul des probabilités</t>
    </r>
    <r>
      <rPr>
        <b/>
        <i/>
        <sz val="12"/>
        <rFont val="Arial"/>
        <family val="2"/>
      </rPr>
      <t xml:space="preserve"> a posteriori</t>
    </r>
  </si>
  <si>
    <t>Total</t>
  </si>
  <si>
    <r>
      <t xml:space="preserve">Probabilités </t>
    </r>
    <r>
      <rPr>
        <i/>
        <sz val="11"/>
        <color theme="1"/>
        <rFont val="Calibri"/>
        <family val="2"/>
        <scheme val="minor"/>
      </rPr>
      <t>a priori</t>
    </r>
    <r>
      <rPr>
        <sz val="11"/>
        <color theme="1"/>
        <rFont val="Calibri"/>
        <family val="2"/>
        <scheme val="minor"/>
      </rPr>
      <t xml:space="preserve"> P(S)…</t>
    </r>
  </si>
  <si>
    <t>S</t>
  </si>
  <si>
    <t>F</t>
  </si>
  <si>
    <t>M</t>
  </si>
  <si>
    <t>PS</t>
  </si>
  <si>
    <t>PF</t>
  </si>
  <si>
    <t>Probabilités conditionnelles P(PS|S)…</t>
  </si>
  <si>
    <t>Probabilités conjointes P(PS et S)...</t>
  </si>
  <si>
    <r>
      <t>Probabilités</t>
    </r>
    <r>
      <rPr>
        <i/>
        <sz val="11"/>
        <color theme="1"/>
        <rFont val="Calibri"/>
        <family val="2"/>
        <scheme val="minor"/>
      </rPr>
      <t xml:space="preserve"> a posteriori </t>
    </r>
    <r>
      <rPr>
        <sz val="11"/>
        <color theme="1"/>
        <rFont val="Calibri"/>
        <family val="2"/>
        <scheme val="minor"/>
      </rPr>
      <t>P(S|PS)...</t>
    </r>
  </si>
  <si>
    <t>Liste des options envisagées</t>
  </si>
  <si>
    <t>Option</t>
  </si>
  <si>
    <t>Code</t>
  </si>
  <si>
    <t>Liste des événements considérés</t>
  </si>
  <si>
    <t>Événement</t>
  </si>
  <si>
    <t>NC</t>
  </si>
  <si>
    <t>C</t>
  </si>
  <si>
    <t>T</t>
  </si>
  <si>
    <t>NT</t>
  </si>
  <si>
    <t>Ne pas organiser la tournée</t>
  </si>
  <si>
    <t>Organiser la tournée</t>
  </si>
  <si>
    <t>Consulter les critiques</t>
  </si>
  <si>
    <t>Ne pas consulter les critiques</t>
  </si>
  <si>
    <t>La tournée est un franc succès</t>
  </si>
  <si>
    <t>La tournée s’avère un four</t>
  </si>
  <si>
    <t>Les critiques prédisent un succès</t>
  </si>
  <si>
    <t>Les critiques prédisent un four</t>
  </si>
  <si>
    <t>Frais de la tournée</t>
  </si>
  <si>
    <t>Revenus de la tournée en cas de succès</t>
  </si>
  <si>
    <t>Revenus de la tournée en cas de succès mitigé</t>
  </si>
  <si>
    <t>Revenus de la tournée en cas de four</t>
  </si>
  <si>
    <t>Coûts et revenus (en k$)</t>
  </si>
  <si>
    <t>* Les résultats sont identiques sur les 3 branches NC, C–PS et C–PF</t>
  </si>
  <si>
    <t xml:space="preserve">Revenus espérés aux points de décision quant à la tournée </t>
  </si>
  <si>
    <t>ÉC des nœuds liés à la décision d'organiser ou non la tournée</t>
  </si>
  <si>
    <t>ÉC du nœud lié au verdict des critiques</t>
  </si>
  <si>
    <t xml:space="preserve">P(S)  =  </t>
  </si>
  <si>
    <t xml:space="preserve">P(F)  =  </t>
  </si>
  <si>
    <t xml:space="preserve">P(M)  =  </t>
  </si>
  <si>
    <r>
      <t xml:space="preserve">Probabilités </t>
    </r>
    <r>
      <rPr>
        <i/>
        <sz val="11"/>
        <color theme="1"/>
        <rFont val="Calibri"/>
        <family val="2"/>
        <scheme val="minor"/>
      </rPr>
      <t>a priori</t>
    </r>
    <r>
      <rPr>
        <sz val="11"/>
        <color theme="1"/>
        <rFont val="Calibri"/>
        <family val="2"/>
        <scheme val="minor"/>
      </rPr>
      <t xml:space="preserve"> </t>
    </r>
  </si>
  <si>
    <t>Résultats conditionnels (en k$) des feuilles</t>
  </si>
  <si>
    <t>Équivalents-certains (en k$) des nœuds à la racine</t>
  </si>
  <si>
    <t>NC, C–PS ou C–PF *</t>
  </si>
  <si>
    <t>MOG 9-11  L’impresario</t>
  </si>
  <si>
    <t>Valeur de l'information fournie par les critiques</t>
  </si>
  <si>
    <t>Racine</t>
  </si>
  <si>
    <t>Décision2</t>
  </si>
  <si>
    <t xml:space="preserve"> </t>
  </si>
  <si>
    <t>Événement14</t>
  </si>
  <si>
    <t>Événement15</t>
  </si>
  <si>
    <t>Événement16</t>
  </si>
  <si>
    <t>0,56</t>
  </si>
  <si>
    <t>0,44</t>
  </si>
  <si>
    <t>0,625</t>
  </si>
  <si>
    <t>0,267857142857143</t>
  </si>
  <si>
    <t>0,107142857142857</t>
  </si>
  <si>
    <t>MOG 9-11c  L’impresario  -  L'arbre de décision: la branche C</t>
  </si>
  <si>
    <t>La tournée connaît un succès mitigé</t>
  </si>
  <si>
    <t>MOG 9-11b  L’impresario  -  L'arbre de décision: les branches NC et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</si>
</sst>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5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/>
    <xf numFmtId="0" fontId="6" fillId="2" borderId="0" xfId="0" applyFont="1" applyFill="1"/>
    <xf numFmtId="0" fontId="0" fillId="2" borderId="13" xfId="0" applyFill="1" applyBorder="1"/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5" xfId="0" applyFill="1" applyBorder="1"/>
    <xf numFmtId="3" fontId="0" fillId="2" borderId="0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right" indent="2"/>
    </xf>
    <xf numFmtId="3" fontId="0" fillId="2" borderId="15" xfId="0" applyNumberFormat="1" applyFill="1" applyBorder="1" applyAlignment="1">
      <alignment horizontal="right" indent="2"/>
    </xf>
    <xf numFmtId="0" fontId="0" fillId="2" borderId="8" xfId="0" applyFill="1" applyBorder="1" applyAlignment="1">
      <alignment horizontal="right" indent="2"/>
    </xf>
    <xf numFmtId="0" fontId="0" fillId="2" borderId="6" xfId="0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2" fontId="4" fillId="2" borderId="1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right" indent="1"/>
    </xf>
    <xf numFmtId="0" fontId="0" fillId="2" borderId="10" xfId="0" applyFill="1" applyBorder="1" applyAlignment="1">
      <alignment horizontal="right" indent="1"/>
    </xf>
    <xf numFmtId="9" fontId="0" fillId="2" borderId="3" xfId="0" applyNumberForma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2" fontId="4" fillId="2" borderId="4" xfId="0" applyNumberFormat="1" applyFont="1" applyFill="1" applyBorder="1" applyAlignment="1">
      <alignment horizontal="right" indent="1"/>
    </xf>
    <xf numFmtId="2" fontId="4" fillId="2" borderId="11" xfId="0" applyNumberFormat="1" applyFont="1" applyFill="1" applyBorder="1" applyAlignment="1">
      <alignment horizontal="right" indent="1"/>
    </xf>
    <xf numFmtId="2" fontId="4" fillId="2" borderId="3" xfId="0" applyNumberFormat="1" applyFont="1" applyFill="1" applyBorder="1" applyAlignment="1">
      <alignment horizontal="right" indent="1"/>
    </xf>
    <xf numFmtId="2" fontId="0" fillId="2" borderId="1" xfId="0" applyNumberFormat="1" applyFill="1" applyBorder="1" applyAlignment="1">
      <alignment horizontal="right" indent="1"/>
    </xf>
    <xf numFmtId="0" fontId="4" fillId="2" borderId="0" xfId="0" applyFont="1" applyFill="1"/>
    <xf numFmtId="0" fontId="4" fillId="2" borderId="0" xfId="0" applyFont="1" applyFill="1" applyAlignment="1">
      <alignment horizontal="right" indent="1"/>
    </xf>
    <xf numFmtId="0" fontId="0" fillId="2" borderId="0" xfId="0" applyFill="1" applyAlignment="1">
      <alignment horizontal="right" indent="1"/>
    </xf>
    <xf numFmtId="0" fontId="4" fillId="2" borderId="5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right" indent="1"/>
    </xf>
    <xf numFmtId="2" fontId="4" fillId="2" borderId="12" xfId="0" applyNumberFormat="1" applyFont="1" applyFill="1" applyBorder="1" applyAlignment="1">
      <alignment horizontal="right" indent="1"/>
    </xf>
    <xf numFmtId="2" fontId="4" fillId="2" borderId="7" xfId="0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right" indent="1"/>
    </xf>
    <xf numFmtId="2" fontId="4" fillId="2" borderId="0" xfId="0" applyNumberFormat="1" applyFont="1" applyFill="1" applyBorder="1" applyAlignment="1">
      <alignment horizontal="right" indent="1"/>
    </xf>
    <xf numFmtId="2" fontId="4" fillId="2" borderId="14" xfId="0" applyNumberFormat="1" applyFont="1" applyFill="1" applyBorder="1" applyAlignment="1">
      <alignment horizontal="right" indent="1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 indent="1"/>
    </xf>
    <xf numFmtId="2" fontId="4" fillId="2" borderId="10" xfId="0" applyNumberFormat="1" applyFont="1" applyFill="1" applyBorder="1" applyAlignment="1">
      <alignment horizontal="right" indent="1"/>
    </xf>
    <xf numFmtId="0" fontId="0" fillId="2" borderId="6" xfId="0" applyFill="1" applyBorder="1" applyAlignment="1">
      <alignment horizontal="right" indent="1"/>
    </xf>
    <xf numFmtId="0" fontId="0" fillId="2" borderId="12" xfId="0" applyFill="1" applyBorder="1" applyAlignment="1">
      <alignment horizontal="right" indent="1"/>
    </xf>
    <xf numFmtId="9" fontId="0" fillId="2" borderId="7" xfId="0" applyNumberFormat="1" applyFill="1" applyBorder="1" applyAlignment="1">
      <alignment horizontal="right" indent="1"/>
    </xf>
    <xf numFmtId="0" fontId="4" fillId="2" borderId="6" xfId="0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right" indent="1"/>
    </xf>
    <xf numFmtId="0" fontId="4" fillId="2" borderId="4" xfId="0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indent="1"/>
    </xf>
    <xf numFmtId="2" fontId="0" fillId="2" borderId="9" xfId="0" applyNumberFormat="1" applyFill="1" applyBorder="1" applyAlignment="1">
      <alignment horizontal="right" indent="1"/>
    </xf>
    <xf numFmtId="0" fontId="4" fillId="2" borderId="1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right" inden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4" xfId="0" applyNumberFormat="1" applyFont="1" applyFill="1" applyBorder="1" applyAlignment="1">
      <alignment horizontal="right" indent="1"/>
    </xf>
    <xf numFmtId="164" fontId="4" fillId="2" borderId="11" xfId="0" applyNumberFormat="1" applyFont="1" applyFill="1" applyBorder="1" applyAlignment="1">
      <alignment horizontal="right" indent="1"/>
    </xf>
    <xf numFmtId="164" fontId="4" fillId="2" borderId="9" xfId="0" applyNumberFormat="1" applyFont="1" applyFill="1" applyBorder="1" applyAlignment="1">
      <alignment horizontal="right" indent="1"/>
    </xf>
    <xf numFmtId="0" fontId="0" fillId="2" borderId="12" xfId="0" applyFill="1" applyBorder="1"/>
    <xf numFmtId="3" fontId="0" fillId="2" borderId="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0" fontId="0" fillId="2" borderId="11" xfId="0" applyFill="1" applyBorder="1"/>
    <xf numFmtId="3" fontId="0" fillId="2" borderId="8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>
      <alignment horizontal="right" indent="1"/>
    </xf>
    <xf numFmtId="3" fontId="0" fillId="2" borderId="0" xfId="0" applyNumberFormat="1" applyFill="1"/>
    <xf numFmtId="3" fontId="0" fillId="2" borderId="5" xfId="0" applyNumberFormat="1" applyFill="1" applyBorder="1"/>
    <xf numFmtId="3" fontId="0" fillId="2" borderId="15" xfId="0" applyNumberFormat="1" applyFill="1" applyBorder="1"/>
    <xf numFmtId="3" fontId="0" fillId="2" borderId="8" xfId="0" applyNumberFormat="1" applyFill="1" applyBorder="1"/>
    <xf numFmtId="0" fontId="0" fillId="2" borderId="11" xfId="0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0" fontId="7" fillId="2" borderId="0" xfId="0" applyFont="1" applyFill="1"/>
    <xf numFmtId="0" fontId="0" fillId="0" borderId="0" xfId="0" applyProtection="1">
      <protection locked="0"/>
    </xf>
    <xf numFmtId="0" fontId="0" fillId="3" borderId="16" xfId="0" applyFill="1" applyBorder="1" applyProtection="1">
      <protection locked="0"/>
    </xf>
    <xf numFmtId="0" fontId="0" fillId="0" borderId="0" xfId="0" applyProtection="1"/>
    <xf numFmtId="0" fontId="0" fillId="4" borderId="16" xfId="0" applyFill="1" applyBorder="1" applyProtection="1">
      <protection locked="0"/>
    </xf>
    <xf numFmtId="0" fontId="6" fillId="2" borderId="0" xfId="0" applyFont="1" applyFill="1" applyProtection="1">
      <protection locked="0"/>
    </xf>
    <xf numFmtId="165" fontId="0" fillId="0" borderId="0" xfId="0" applyNumberFormat="1" applyProtection="1"/>
    <xf numFmtId="1" fontId="0" fillId="0" borderId="0" xfId="0" applyNumberFormat="1" applyProtection="1"/>
    <xf numFmtId="0" fontId="4" fillId="5" borderId="1" xfId="0" applyFont="1" applyFill="1" applyBorder="1"/>
    <xf numFmtId="164" fontId="0" fillId="4" borderId="16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Protection="1"/>
    <xf numFmtId="0" fontId="1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02" name="Rectangle 401"/>
        <xdr:cNvSpPr/>
      </xdr:nvSpPr>
      <xdr:spPr>
        <a:xfrm>
          <a:off x="619125" y="3810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0</xdr:col>
      <xdr:colOff>0</xdr:colOff>
      <xdr:row>20</xdr:row>
      <xdr:rowOff>95250</xdr:rowOff>
    </xdr:from>
    <xdr:to>
      <xdr:col>1</xdr:col>
      <xdr:colOff>0</xdr:colOff>
      <xdr:row>20</xdr:row>
      <xdr:rowOff>95250</xdr:rowOff>
    </xdr:to>
    <xdr:cxnSp macro="">
      <xdr:nvCxnSpPr>
        <xdr:cNvPr id="403" name="Connecteur droit 402"/>
        <xdr:cNvCxnSpPr/>
      </xdr:nvCxnSpPr>
      <xdr:spPr>
        <a:xfrm>
          <a:off x="0" y="39052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404" name="Ellipse 403"/>
        <xdr:cNvSpPr/>
      </xdr:nvSpPr>
      <xdr:spPr>
        <a:xfrm>
          <a:off x="2514600" y="1524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8</xdr:row>
      <xdr:rowOff>95250</xdr:rowOff>
    </xdr:from>
    <xdr:to>
      <xdr:col>5</xdr:col>
      <xdr:colOff>0</xdr:colOff>
      <xdr:row>8</xdr:row>
      <xdr:rowOff>95250</xdr:rowOff>
    </xdr:to>
    <xdr:cxnSp macro="">
      <xdr:nvCxnSpPr>
        <xdr:cNvPr id="405" name="Connecteur droit 404"/>
        <xdr:cNvCxnSpPr/>
      </xdr:nvCxnSpPr>
      <xdr:spPr>
        <a:xfrm>
          <a:off x="104775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95250</xdr:rowOff>
    </xdr:from>
    <xdr:to>
      <xdr:col>3</xdr:col>
      <xdr:colOff>0</xdr:colOff>
      <xdr:row>20</xdr:row>
      <xdr:rowOff>95250</xdr:rowOff>
    </xdr:to>
    <xdr:cxnSp macro="">
      <xdr:nvCxnSpPr>
        <xdr:cNvPr id="406" name="Connecteur droit 405"/>
        <xdr:cNvCxnSpPr/>
      </xdr:nvCxnSpPr>
      <xdr:spPr>
        <a:xfrm flipV="1">
          <a:off x="800100" y="1619250"/>
          <a:ext cx="247650" cy="228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32</xdr:row>
      <xdr:rowOff>0</xdr:rowOff>
    </xdr:from>
    <xdr:to>
      <xdr:col>6</xdr:col>
      <xdr:colOff>0</xdr:colOff>
      <xdr:row>33</xdr:row>
      <xdr:rowOff>0</xdr:rowOff>
    </xdr:to>
    <xdr:sp macro="" textlink="">
      <xdr:nvSpPr>
        <xdr:cNvPr id="407" name="Ellipse 406"/>
        <xdr:cNvSpPr/>
      </xdr:nvSpPr>
      <xdr:spPr>
        <a:xfrm>
          <a:off x="2514600" y="6096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32</xdr:row>
      <xdr:rowOff>95250</xdr:rowOff>
    </xdr:from>
    <xdr:to>
      <xdr:col>5</xdr:col>
      <xdr:colOff>0</xdr:colOff>
      <xdr:row>32</xdr:row>
      <xdr:rowOff>95250</xdr:rowOff>
    </xdr:to>
    <xdr:cxnSp macro="">
      <xdr:nvCxnSpPr>
        <xdr:cNvPr id="408" name="Connecteur droit 407"/>
        <xdr:cNvCxnSpPr/>
      </xdr:nvCxnSpPr>
      <xdr:spPr>
        <a:xfrm>
          <a:off x="1047750" y="619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95250</xdr:rowOff>
    </xdr:from>
    <xdr:to>
      <xdr:col>3</xdr:col>
      <xdr:colOff>0</xdr:colOff>
      <xdr:row>32</xdr:row>
      <xdr:rowOff>95250</xdr:rowOff>
    </xdr:to>
    <xdr:cxnSp macro="">
      <xdr:nvCxnSpPr>
        <xdr:cNvPr id="409" name="Connecteur droit 408"/>
        <xdr:cNvCxnSpPr/>
      </xdr:nvCxnSpPr>
      <xdr:spPr>
        <a:xfrm>
          <a:off x="800100" y="3905250"/>
          <a:ext cx="247650" cy="228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24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10" name="Rectangle 409"/>
        <xdr:cNvSpPr/>
      </xdr:nvSpPr>
      <xdr:spPr>
        <a:xfrm>
          <a:off x="4410075" y="4572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24</xdr:row>
      <xdr:rowOff>95250</xdr:rowOff>
    </xdr:from>
    <xdr:to>
      <xdr:col>9</xdr:col>
      <xdr:colOff>0</xdr:colOff>
      <xdr:row>24</xdr:row>
      <xdr:rowOff>95250</xdr:rowOff>
    </xdr:to>
    <xdr:cxnSp macro="">
      <xdr:nvCxnSpPr>
        <xdr:cNvPr id="411" name="Connecteur droit 410"/>
        <xdr:cNvCxnSpPr/>
      </xdr:nvCxnSpPr>
      <xdr:spPr>
        <a:xfrm>
          <a:off x="2943225" y="466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95250</xdr:rowOff>
    </xdr:from>
    <xdr:to>
      <xdr:col>7</xdr:col>
      <xdr:colOff>0</xdr:colOff>
      <xdr:row>32</xdr:row>
      <xdr:rowOff>95250</xdr:rowOff>
    </xdr:to>
    <xdr:cxnSp macro="">
      <xdr:nvCxnSpPr>
        <xdr:cNvPr id="412" name="Connecteur droit 411"/>
        <xdr:cNvCxnSpPr/>
      </xdr:nvCxnSpPr>
      <xdr:spPr>
        <a:xfrm flipV="1">
          <a:off x="2695575" y="4667250"/>
          <a:ext cx="247650" cy="1524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40</xdr:row>
      <xdr:rowOff>0</xdr:rowOff>
    </xdr:from>
    <xdr:to>
      <xdr:col>10</xdr:col>
      <xdr:colOff>0</xdr:colOff>
      <xdr:row>41</xdr:row>
      <xdr:rowOff>0</xdr:rowOff>
    </xdr:to>
    <xdr:sp macro="" textlink="">
      <xdr:nvSpPr>
        <xdr:cNvPr id="413" name="Rectangle 412"/>
        <xdr:cNvSpPr/>
      </xdr:nvSpPr>
      <xdr:spPr>
        <a:xfrm>
          <a:off x="4410075" y="7620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40</xdr:row>
      <xdr:rowOff>95250</xdr:rowOff>
    </xdr:from>
    <xdr:to>
      <xdr:col>9</xdr:col>
      <xdr:colOff>0</xdr:colOff>
      <xdr:row>40</xdr:row>
      <xdr:rowOff>95250</xdr:rowOff>
    </xdr:to>
    <xdr:cxnSp macro="">
      <xdr:nvCxnSpPr>
        <xdr:cNvPr id="414" name="Connecteur droit 413"/>
        <xdr:cNvCxnSpPr/>
      </xdr:nvCxnSpPr>
      <xdr:spPr>
        <a:xfrm>
          <a:off x="2943225" y="771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95250</xdr:rowOff>
    </xdr:from>
    <xdr:to>
      <xdr:col>7</xdr:col>
      <xdr:colOff>0</xdr:colOff>
      <xdr:row>40</xdr:row>
      <xdr:rowOff>95250</xdr:rowOff>
    </xdr:to>
    <xdr:cxnSp macro="">
      <xdr:nvCxnSpPr>
        <xdr:cNvPr id="415" name="Connecteur droit 414"/>
        <xdr:cNvCxnSpPr/>
      </xdr:nvCxnSpPr>
      <xdr:spPr>
        <a:xfrm>
          <a:off x="2695575" y="6191250"/>
          <a:ext cx="247650" cy="1524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36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416" name="Ellipse 415"/>
        <xdr:cNvSpPr/>
      </xdr:nvSpPr>
      <xdr:spPr>
        <a:xfrm>
          <a:off x="6305550" y="6858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36</xdr:row>
      <xdr:rowOff>95250</xdr:rowOff>
    </xdr:from>
    <xdr:to>
      <xdr:col>13</xdr:col>
      <xdr:colOff>0</xdr:colOff>
      <xdr:row>36</xdr:row>
      <xdr:rowOff>95250</xdr:rowOff>
    </xdr:to>
    <xdr:cxnSp macro="">
      <xdr:nvCxnSpPr>
        <xdr:cNvPr id="417" name="Connecteur droit 416"/>
        <xdr:cNvCxnSpPr/>
      </xdr:nvCxnSpPr>
      <xdr:spPr>
        <a:xfrm>
          <a:off x="4838700" y="695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36</xdr:row>
      <xdr:rowOff>95250</xdr:rowOff>
    </xdr:from>
    <xdr:to>
      <xdr:col>11</xdr:col>
      <xdr:colOff>0</xdr:colOff>
      <xdr:row>40</xdr:row>
      <xdr:rowOff>95250</xdr:rowOff>
    </xdr:to>
    <xdr:cxnSp macro="">
      <xdr:nvCxnSpPr>
        <xdr:cNvPr id="418" name="Connecteur droit 417"/>
        <xdr:cNvCxnSpPr/>
      </xdr:nvCxnSpPr>
      <xdr:spPr>
        <a:xfrm flipV="1">
          <a:off x="4591050" y="6953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419" name="Ellipse 418"/>
        <xdr:cNvSpPr/>
      </xdr:nvSpPr>
      <xdr:spPr>
        <a:xfrm>
          <a:off x="6305550" y="838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44</xdr:row>
      <xdr:rowOff>95250</xdr:rowOff>
    </xdr:from>
    <xdr:to>
      <xdr:col>13</xdr:col>
      <xdr:colOff>0</xdr:colOff>
      <xdr:row>44</xdr:row>
      <xdr:rowOff>95250</xdr:rowOff>
    </xdr:to>
    <xdr:cxnSp macro="">
      <xdr:nvCxnSpPr>
        <xdr:cNvPr id="420" name="Connecteur droit 419"/>
        <xdr:cNvCxnSpPr/>
      </xdr:nvCxnSpPr>
      <xdr:spPr>
        <a:xfrm>
          <a:off x="4838700" y="847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40</xdr:row>
      <xdr:rowOff>95250</xdr:rowOff>
    </xdr:from>
    <xdr:to>
      <xdr:col>11</xdr:col>
      <xdr:colOff>0</xdr:colOff>
      <xdr:row>44</xdr:row>
      <xdr:rowOff>95250</xdr:rowOff>
    </xdr:to>
    <xdr:cxnSp macro="">
      <xdr:nvCxnSpPr>
        <xdr:cNvPr id="421" name="Connecteur droit 420"/>
        <xdr:cNvCxnSpPr/>
      </xdr:nvCxnSpPr>
      <xdr:spPr>
        <a:xfrm>
          <a:off x="4591050" y="7715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12700</xdr:colOff>
      <xdr:row>37</xdr:row>
      <xdr:rowOff>0</xdr:rowOff>
    </xdr:to>
    <xdr:sp macro="" textlink="">
      <xdr:nvSpPr>
        <xdr:cNvPr id="422" name="Rectangle 421"/>
        <xdr:cNvSpPr/>
      </xdr:nvSpPr>
      <xdr:spPr>
        <a:xfrm>
          <a:off x="8201025" y="685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36</xdr:row>
      <xdr:rowOff>95250</xdr:rowOff>
    </xdr:from>
    <xdr:to>
      <xdr:col>17</xdr:col>
      <xdr:colOff>0</xdr:colOff>
      <xdr:row>36</xdr:row>
      <xdr:rowOff>95250</xdr:rowOff>
    </xdr:to>
    <xdr:cxnSp macro="">
      <xdr:nvCxnSpPr>
        <xdr:cNvPr id="423" name="Connecteur droit 422"/>
        <xdr:cNvCxnSpPr/>
      </xdr:nvCxnSpPr>
      <xdr:spPr>
        <a:xfrm>
          <a:off x="6734175" y="695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36</xdr:row>
      <xdr:rowOff>95250</xdr:rowOff>
    </xdr:from>
    <xdr:to>
      <xdr:col>15</xdr:col>
      <xdr:colOff>0</xdr:colOff>
      <xdr:row>36</xdr:row>
      <xdr:rowOff>95250</xdr:rowOff>
    </xdr:to>
    <xdr:cxnSp macro="">
      <xdr:nvCxnSpPr>
        <xdr:cNvPr id="424" name="Connecteur droit 423"/>
        <xdr:cNvCxnSpPr/>
      </xdr:nvCxnSpPr>
      <xdr:spPr>
        <a:xfrm>
          <a:off x="6486525" y="6953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12700</xdr:colOff>
      <xdr:row>41</xdr:row>
      <xdr:rowOff>0</xdr:rowOff>
    </xdr:to>
    <xdr:sp macro="" textlink="">
      <xdr:nvSpPr>
        <xdr:cNvPr id="425" name="Rectangle 424"/>
        <xdr:cNvSpPr/>
      </xdr:nvSpPr>
      <xdr:spPr>
        <a:xfrm>
          <a:off x="8201025" y="7620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40</xdr:row>
      <xdr:rowOff>95250</xdr:rowOff>
    </xdr:from>
    <xdr:to>
      <xdr:col>17</xdr:col>
      <xdr:colOff>0</xdr:colOff>
      <xdr:row>40</xdr:row>
      <xdr:rowOff>95250</xdr:rowOff>
    </xdr:to>
    <xdr:cxnSp macro="">
      <xdr:nvCxnSpPr>
        <xdr:cNvPr id="426" name="Connecteur droit 425"/>
        <xdr:cNvCxnSpPr/>
      </xdr:nvCxnSpPr>
      <xdr:spPr>
        <a:xfrm>
          <a:off x="6734175" y="771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40</xdr:row>
      <xdr:rowOff>95250</xdr:rowOff>
    </xdr:from>
    <xdr:to>
      <xdr:col>15</xdr:col>
      <xdr:colOff>0</xdr:colOff>
      <xdr:row>44</xdr:row>
      <xdr:rowOff>95250</xdr:rowOff>
    </xdr:to>
    <xdr:cxnSp macro="">
      <xdr:nvCxnSpPr>
        <xdr:cNvPr id="427" name="Connecteur droit 426"/>
        <xdr:cNvCxnSpPr/>
      </xdr:nvCxnSpPr>
      <xdr:spPr>
        <a:xfrm flipV="1">
          <a:off x="6486525" y="7715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12700</xdr:colOff>
      <xdr:row>45</xdr:row>
      <xdr:rowOff>0</xdr:rowOff>
    </xdr:to>
    <xdr:sp macro="" textlink="">
      <xdr:nvSpPr>
        <xdr:cNvPr id="428" name="Rectangle 427"/>
        <xdr:cNvSpPr/>
      </xdr:nvSpPr>
      <xdr:spPr>
        <a:xfrm>
          <a:off x="8201025" y="838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44</xdr:row>
      <xdr:rowOff>95250</xdr:rowOff>
    </xdr:from>
    <xdr:to>
      <xdr:col>17</xdr:col>
      <xdr:colOff>0</xdr:colOff>
      <xdr:row>44</xdr:row>
      <xdr:rowOff>95250</xdr:rowOff>
    </xdr:to>
    <xdr:cxnSp macro="">
      <xdr:nvCxnSpPr>
        <xdr:cNvPr id="429" name="Connecteur droit 428"/>
        <xdr:cNvCxnSpPr/>
      </xdr:nvCxnSpPr>
      <xdr:spPr>
        <a:xfrm>
          <a:off x="6734175" y="847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95250</xdr:rowOff>
    </xdr:from>
    <xdr:to>
      <xdr:col>15</xdr:col>
      <xdr:colOff>0</xdr:colOff>
      <xdr:row>44</xdr:row>
      <xdr:rowOff>95250</xdr:rowOff>
    </xdr:to>
    <xdr:cxnSp macro="">
      <xdr:nvCxnSpPr>
        <xdr:cNvPr id="430" name="Connecteur droit 429"/>
        <xdr:cNvCxnSpPr/>
      </xdr:nvCxnSpPr>
      <xdr:spPr>
        <a:xfrm>
          <a:off x="6486525" y="847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12700</xdr:colOff>
      <xdr:row>49</xdr:row>
      <xdr:rowOff>0</xdr:rowOff>
    </xdr:to>
    <xdr:sp macro="" textlink="">
      <xdr:nvSpPr>
        <xdr:cNvPr id="431" name="Rectangle 430"/>
        <xdr:cNvSpPr/>
      </xdr:nvSpPr>
      <xdr:spPr>
        <a:xfrm>
          <a:off x="8201025" y="914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48</xdr:row>
      <xdr:rowOff>95250</xdr:rowOff>
    </xdr:from>
    <xdr:to>
      <xdr:col>17</xdr:col>
      <xdr:colOff>0</xdr:colOff>
      <xdr:row>48</xdr:row>
      <xdr:rowOff>95250</xdr:rowOff>
    </xdr:to>
    <xdr:cxnSp macro="">
      <xdr:nvCxnSpPr>
        <xdr:cNvPr id="432" name="Connecteur droit 431"/>
        <xdr:cNvCxnSpPr/>
      </xdr:nvCxnSpPr>
      <xdr:spPr>
        <a:xfrm>
          <a:off x="6734175" y="923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44</xdr:row>
      <xdr:rowOff>95250</xdr:rowOff>
    </xdr:from>
    <xdr:to>
      <xdr:col>15</xdr:col>
      <xdr:colOff>0</xdr:colOff>
      <xdr:row>48</xdr:row>
      <xdr:rowOff>95250</xdr:rowOff>
    </xdr:to>
    <xdr:cxnSp macro="">
      <xdr:nvCxnSpPr>
        <xdr:cNvPr id="433" name="Connecteur droit 432"/>
        <xdr:cNvCxnSpPr/>
      </xdr:nvCxnSpPr>
      <xdr:spPr>
        <a:xfrm>
          <a:off x="6486525" y="8477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20</xdr:row>
      <xdr:rowOff>0</xdr:rowOff>
    </xdr:from>
    <xdr:to>
      <xdr:col>14</xdr:col>
      <xdr:colOff>0</xdr:colOff>
      <xdr:row>21</xdr:row>
      <xdr:rowOff>0</xdr:rowOff>
    </xdr:to>
    <xdr:sp macro="" textlink="">
      <xdr:nvSpPr>
        <xdr:cNvPr id="434" name="Ellipse 433"/>
        <xdr:cNvSpPr/>
      </xdr:nvSpPr>
      <xdr:spPr>
        <a:xfrm>
          <a:off x="6305550" y="3810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20</xdr:row>
      <xdr:rowOff>95250</xdr:rowOff>
    </xdr:from>
    <xdr:to>
      <xdr:col>13</xdr:col>
      <xdr:colOff>0</xdr:colOff>
      <xdr:row>20</xdr:row>
      <xdr:rowOff>95250</xdr:rowOff>
    </xdr:to>
    <xdr:cxnSp macro="">
      <xdr:nvCxnSpPr>
        <xdr:cNvPr id="435" name="Connecteur droit 434"/>
        <xdr:cNvCxnSpPr/>
      </xdr:nvCxnSpPr>
      <xdr:spPr>
        <a:xfrm>
          <a:off x="4838700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20</xdr:row>
      <xdr:rowOff>95250</xdr:rowOff>
    </xdr:from>
    <xdr:to>
      <xdr:col>11</xdr:col>
      <xdr:colOff>0</xdr:colOff>
      <xdr:row>24</xdr:row>
      <xdr:rowOff>95250</xdr:rowOff>
    </xdr:to>
    <xdr:cxnSp macro="">
      <xdr:nvCxnSpPr>
        <xdr:cNvPr id="436" name="Connecteur droit 435"/>
        <xdr:cNvCxnSpPr/>
      </xdr:nvCxnSpPr>
      <xdr:spPr>
        <a:xfrm flipV="1">
          <a:off x="4591050" y="3905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28</xdr:row>
      <xdr:rowOff>0</xdr:rowOff>
    </xdr:from>
    <xdr:to>
      <xdr:col>14</xdr:col>
      <xdr:colOff>0</xdr:colOff>
      <xdr:row>29</xdr:row>
      <xdr:rowOff>0</xdr:rowOff>
    </xdr:to>
    <xdr:sp macro="" textlink="">
      <xdr:nvSpPr>
        <xdr:cNvPr id="437" name="Ellipse 436"/>
        <xdr:cNvSpPr/>
      </xdr:nvSpPr>
      <xdr:spPr>
        <a:xfrm>
          <a:off x="6305550" y="5334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28</xdr:row>
      <xdr:rowOff>95250</xdr:rowOff>
    </xdr:from>
    <xdr:to>
      <xdr:col>13</xdr:col>
      <xdr:colOff>0</xdr:colOff>
      <xdr:row>28</xdr:row>
      <xdr:rowOff>95250</xdr:rowOff>
    </xdr:to>
    <xdr:cxnSp macro="">
      <xdr:nvCxnSpPr>
        <xdr:cNvPr id="438" name="Connecteur droit 437"/>
        <xdr:cNvCxnSpPr/>
      </xdr:nvCxnSpPr>
      <xdr:spPr>
        <a:xfrm>
          <a:off x="4838700" y="542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95250</xdr:rowOff>
    </xdr:from>
    <xdr:to>
      <xdr:col>11</xdr:col>
      <xdr:colOff>0</xdr:colOff>
      <xdr:row>28</xdr:row>
      <xdr:rowOff>95250</xdr:rowOff>
    </xdr:to>
    <xdr:cxnSp macro="">
      <xdr:nvCxnSpPr>
        <xdr:cNvPr id="439" name="Connecteur droit 438"/>
        <xdr:cNvCxnSpPr/>
      </xdr:nvCxnSpPr>
      <xdr:spPr>
        <a:xfrm>
          <a:off x="4591050" y="4667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12700</xdr:colOff>
      <xdr:row>21</xdr:row>
      <xdr:rowOff>0</xdr:rowOff>
    </xdr:to>
    <xdr:sp macro="" textlink="">
      <xdr:nvSpPr>
        <xdr:cNvPr id="440" name="Rectangle 439"/>
        <xdr:cNvSpPr/>
      </xdr:nvSpPr>
      <xdr:spPr>
        <a:xfrm>
          <a:off x="8201025" y="3810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20</xdr:row>
      <xdr:rowOff>95250</xdr:rowOff>
    </xdr:from>
    <xdr:to>
      <xdr:col>17</xdr:col>
      <xdr:colOff>0</xdr:colOff>
      <xdr:row>20</xdr:row>
      <xdr:rowOff>95250</xdr:rowOff>
    </xdr:to>
    <xdr:cxnSp macro="">
      <xdr:nvCxnSpPr>
        <xdr:cNvPr id="441" name="Connecteur droit 440"/>
        <xdr:cNvCxnSpPr/>
      </xdr:nvCxnSpPr>
      <xdr:spPr>
        <a:xfrm>
          <a:off x="6734175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95250</xdr:rowOff>
    </xdr:from>
    <xdr:to>
      <xdr:col>15</xdr:col>
      <xdr:colOff>0</xdr:colOff>
      <xdr:row>20</xdr:row>
      <xdr:rowOff>95250</xdr:rowOff>
    </xdr:to>
    <xdr:cxnSp macro="">
      <xdr:nvCxnSpPr>
        <xdr:cNvPr id="442" name="Connecteur droit 441"/>
        <xdr:cNvCxnSpPr/>
      </xdr:nvCxnSpPr>
      <xdr:spPr>
        <a:xfrm>
          <a:off x="6486525" y="3905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12700</xdr:colOff>
      <xdr:row>25</xdr:row>
      <xdr:rowOff>0</xdr:rowOff>
    </xdr:to>
    <xdr:sp macro="" textlink="">
      <xdr:nvSpPr>
        <xdr:cNvPr id="443" name="Rectangle 442"/>
        <xdr:cNvSpPr/>
      </xdr:nvSpPr>
      <xdr:spPr>
        <a:xfrm>
          <a:off x="8201025" y="457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24</xdr:row>
      <xdr:rowOff>95250</xdr:rowOff>
    </xdr:from>
    <xdr:to>
      <xdr:col>17</xdr:col>
      <xdr:colOff>0</xdr:colOff>
      <xdr:row>24</xdr:row>
      <xdr:rowOff>95250</xdr:rowOff>
    </xdr:to>
    <xdr:cxnSp macro="">
      <xdr:nvCxnSpPr>
        <xdr:cNvPr id="444" name="Connecteur droit 443"/>
        <xdr:cNvCxnSpPr/>
      </xdr:nvCxnSpPr>
      <xdr:spPr>
        <a:xfrm>
          <a:off x="6734175" y="466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95250</xdr:rowOff>
    </xdr:from>
    <xdr:to>
      <xdr:col>15</xdr:col>
      <xdr:colOff>0</xdr:colOff>
      <xdr:row>28</xdr:row>
      <xdr:rowOff>95250</xdr:rowOff>
    </xdr:to>
    <xdr:cxnSp macro="">
      <xdr:nvCxnSpPr>
        <xdr:cNvPr id="445" name="Connecteur droit 444"/>
        <xdr:cNvCxnSpPr/>
      </xdr:nvCxnSpPr>
      <xdr:spPr>
        <a:xfrm flipV="1">
          <a:off x="6486525" y="4667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12700</xdr:colOff>
      <xdr:row>29</xdr:row>
      <xdr:rowOff>0</xdr:rowOff>
    </xdr:to>
    <xdr:sp macro="" textlink="">
      <xdr:nvSpPr>
        <xdr:cNvPr id="446" name="Rectangle 445"/>
        <xdr:cNvSpPr/>
      </xdr:nvSpPr>
      <xdr:spPr>
        <a:xfrm>
          <a:off x="8201025" y="533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28</xdr:row>
      <xdr:rowOff>95250</xdr:rowOff>
    </xdr:from>
    <xdr:to>
      <xdr:col>17</xdr:col>
      <xdr:colOff>0</xdr:colOff>
      <xdr:row>28</xdr:row>
      <xdr:rowOff>95250</xdr:rowOff>
    </xdr:to>
    <xdr:cxnSp macro="">
      <xdr:nvCxnSpPr>
        <xdr:cNvPr id="447" name="Connecteur droit 446"/>
        <xdr:cNvCxnSpPr/>
      </xdr:nvCxnSpPr>
      <xdr:spPr>
        <a:xfrm>
          <a:off x="6734175" y="542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95250</xdr:rowOff>
    </xdr:from>
    <xdr:to>
      <xdr:col>15</xdr:col>
      <xdr:colOff>0</xdr:colOff>
      <xdr:row>28</xdr:row>
      <xdr:rowOff>95250</xdr:rowOff>
    </xdr:to>
    <xdr:cxnSp macro="">
      <xdr:nvCxnSpPr>
        <xdr:cNvPr id="448" name="Connecteur droit 447"/>
        <xdr:cNvCxnSpPr/>
      </xdr:nvCxnSpPr>
      <xdr:spPr>
        <a:xfrm>
          <a:off x="6486525" y="5429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12700</xdr:colOff>
      <xdr:row>33</xdr:row>
      <xdr:rowOff>0</xdr:rowOff>
    </xdr:to>
    <xdr:sp macro="" textlink="">
      <xdr:nvSpPr>
        <xdr:cNvPr id="449" name="Rectangle 448"/>
        <xdr:cNvSpPr/>
      </xdr:nvSpPr>
      <xdr:spPr>
        <a:xfrm>
          <a:off x="8201025" y="609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32</xdr:row>
      <xdr:rowOff>95250</xdr:rowOff>
    </xdr:from>
    <xdr:to>
      <xdr:col>17</xdr:col>
      <xdr:colOff>0</xdr:colOff>
      <xdr:row>32</xdr:row>
      <xdr:rowOff>95250</xdr:rowOff>
    </xdr:to>
    <xdr:cxnSp macro="">
      <xdr:nvCxnSpPr>
        <xdr:cNvPr id="450" name="Connecteur droit 449"/>
        <xdr:cNvCxnSpPr/>
      </xdr:nvCxnSpPr>
      <xdr:spPr>
        <a:xfrm>
          <a:off x="6734175" y="619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95250</xdr:rowOff>
    </xdr:from>
    <xdr:to>
      <xdr:col>15</xdr:col>
      <xdr:colOff>0</xdr:colOff>
      <xdr:row>32</xdr:row>
      <xdr:rowOff>95250</xdr:rowOff>
    </xdr:to>
    <xdr:cxnSp macro="">
      <xdr:nvCxnSpPr>
        <xdr:cNvPr id="451" name="Connecteur droit 450"/>
        <xdr:cNvCxnSpPr/>
      </xdr:nvCxnSpPr>
      <xdr:spPr>
        <a:xfrm>
          <a:off x="6486525" y="542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452" name="Rectangle 451"/>
        <xdr:cNvSpPr/>
      </xdr:nvSpPr>
      <xdr:spPr>
        <a:xfrm>
          <a:off x="4410075" y="1524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8</xdr:row>
      <xdr:rowOff>95250</xdr:rowOff>
    </xdr:from>
    <xdr:to>
      <xdr:col>9</xdr:col>
      <xdr:colOff>0</xdr:colOff>
      <xdr:row>8</xdr:row>
      <xdr:rowOff>95250</xdr:rowOff>
    </xdr:to>
    <xdr:cxnSp macro="">
      <xdr:nvCxnSpPr>
        <xdr:cNvPr id="453" name="Connecteur droit 452"/>
        <xdr:cNvCxnSpPr/>
      </xdr:nvCxnSpPr>
      <xdr:spPr>
        <a:xfrm>
          <a:off x="2943225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95250</xdr:rowOff>
    </xdr:from>
    <xdr:to>
      <xdr:col>7</xdr:col>
      <xdr:colOff>0</xdr:colOff>
      <xdr:row>8</xdr:row>
      <xdr:rowOff>95250</xdr:rowOff>
    </xdr:to>
    <xdr:cxnSp macro="">
      <xdr:nvCxnSpPr>
        <xdr:cNvPr id="454" name="Connecteur droit 453"/>
        <xdr:cNvCxnSpPr/>
      </xdr:nvCxnSpPr>
      <xdr:spPr>
        <a:xfrm>
          <a:off x="2695575" y="1619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55" name="Ellipse 454"/>
        <xdr:cNvSpPr/>
      </xdr:nvSpPr>
      <xdr:spPr>
        <a:xfrm>
          <a:off x="6305550" y="76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456" name="Connecteur droit 455"/>
        <xdr:cNvCxnSpPr/>
      </xdr:nvCxnSpPr>
      <xdr:spPr>
        <a:xfrm>
          <a:off x="4838700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</xdr:row>
      <xdr:rowOff>95250</xdr:rowOff>
    </xdr:from>
    <xdr:to>
      <xdr:col>11</xdr:col>
      <xdr:colOff>0</xdr:colOff>
      <xdr:row>8</xdr:row>
      <xdr:rowOff>95250</xdr:rowOff>
    </xdr:to>
    <xdr:cxnSp macro="">
      <xdr:nvCxnSpPr>
        <xdr:cNvPr id="457" name="Connecteur droit 456"/>
        <xdr:cNvCxnSpPr/>
      </xdr:nvCxnSpPr>
      <xdr:spPr>
        <a:xfrm flipV="1">
          <a:off x="4591050" y="857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458" name="Ellipse 457"/>
        <xdr:cNvSpPr/>
      </xdr:nvSpPr>
      <xdr:spPr>
        <a:xfrm>
          <a:off x="6305550" y="2286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12</xdr:row>
      <xdr:rowOff>95250</xdr:rowOff>
    </xdr:from>
    <xdr:to>
      <xdr:col>13</xdr:col>
      <xdr:colOff>0</xdr:colOff>
      <xdr:row>12</xdr:row>
      <xdr:rowOff>95250</xdr:rowOff>
    </xdr:to>
    <xdr:cxnSp macro="">
      <xdr:nvCxnSpPr>
        <xdr:cNvPr id="459" name="Connecteur droit 458"/>
        <xdr:cNvCxnSpPr/>
      </xdr:nvCxnSpPr>
      <xdr:spPr>
        <a:xfrm>
          <a:off x="4838700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460" name="Connecteur droit 459"/>
        <xdr:cNvCxnSpPr/>
      </xdr:nvCxnSpPr>
      <xdr:spPr>
        <a:xfrm>
          <a:off x="4591050" y="161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12700</xdr:colOff>
      <xdr:row>5</xdr:row>
      <xdr:rowOff>0</xdr:rowOff>
    </xdr:to>
    <xdr:sp macro="" textlink="">
      <xdr:nvSpPr>
        <xdr:cNvPr id="461" name="Rectangle 460"/>
        <xdr:cNvSpPr/>
      </xdr:nvSpPr>
      <xdr:spPr>
        <a:xfrm>
          <a:off x="8201025" y="76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4</xdr:row>
      <xdr:rowOff>95250</xdr:rowOff>
    </xdr:from>
    <xdr:to>
      <xdr:col>17</xdr:col>
      <xdr:colOff>0</xdr:colOff>
      <xdr:row>4</xdr:row>
      <xdr:rowOff>95250</xdr:rowOff>
    </xdr:to>
    <xdr:cxnSp macro="">
      <xdr:nvCxnSpPr>
        <xdr:cNvPr id="462" name="Connecteur droit 461"/>
        <xdr:cNvCxnSpPr/>
      </xdr:nvCxnSpPr>
      <xdr:spPr>
        <a:xfrm>
          <a:off x="6734175" y="85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4</xdr:row>
      <xdr:rowOff>95250</xdr:rowOff>
    </xdr:from>
    <xdr:to>
      <xdr:col>15</xdr:col>
      <xdr:colOff>0</xdr:colOff>
      <xdr:row>4</xdr:row>
      <xdr:rowOff>95250</xdr:rowOff>
    </xdr:to>
    <xdr:cxnSp macro="">
      <xdr:nvCxnSpPr>
        <xdr:cNvPr id="463" name="Connecteur droit 462"/>
        <xdr:cNvCxnSpPr/>
      </xdr:nvCxnSpPr>
      <xdr:spPr>
        <a:xfrm>
          <a:off x="6486525" y="85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12700</xdr:colOff>
      <xdr:row>9</xdr:row>
      <xdr:rowOff>0</xdr:rowOff>
    </xdr:to>
    <xdr:sp macro="" textlink="">
      <xdr:nvSpPr>
        <xdr:cNvPr id="464" name="Rectangle 463"/>
        <xdr:cNvSpPr/>
      </xdr:nvSpPr>
      <xdr:spPr>
        <a:xfrm>
          <a:off x="8201025" y="152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8</xdr:row>
      <xdr:rowOff>95250</xdr:rowOff>
    </xdr:from>
    <xdr:to>
      <xdr:col>17</xdr:col>
      <xdr:colOff>0</xdr:colOff>
      <xdr:row>8</xdr:row>
      <xdr:rowOff>95250</xdr:rowOff>
    </xdr:to>
    <xdr:cxnSp macro="">
      <xdr:nvCxnSpPr>
        <xdr:cNvPr id="465" name="Connecteur droit 464"/>
        <xdr:cNvCxnSpPr/>
      </xdr:nvCxnSpPr>
      <xdr:spPr>
        <a:xfrm>
          <a:off x="6734175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95250</xdr:rowOff>
    </xdr:from>
    <xdr:to>
      <xdr:col>15</xdr:col>
      <xdr:colOff>0</xdr:colOff>
      <xdr:row>12</xdr:row>
      <xdr:rowOff>95250</xdr:rowOff>
    </xdr:to>
    <xdr:cxnSp macro="">
      <xdr:nvCxnSpPr>
        <xdr:cNvPr id="466" name="Connecteur droit 465"/>
        <xdr:cNvCxnSpPr/>
      </xdr:nvCxnSpPr>
      <xdr:spPr>
        <a:xfrm flipV="1">
          <a:off x="6486525" y="161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12700</xdr:colOff>
      <xdr:row>13</xdr:row>
      <xdr:rowOff>0</xdr:rowOff>
    </xdr:to>
    <xdr:sp macro="" textlink="">
      <xdr:nvSpPr>
        <xdr:cNvPr id="467" name="Rectangle 466"/>
        <xdr:cNvSpPr/>
      </xdr:nvSpPr>
      <xdr:spPr>
        <a:xfrm>
          <a:off x="8201025" y="228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12</xdr:row>
      <xdr:rowOff>95250</xdr:rowOff>
    </xdr:from>
    <xdr:to>
      <xdr:col>17</xdr:col>
      <xdr:colOff>0</xdr:colOff>
      <xdr:row>12</xdr:row>
      <xdr:rowOff>95250</xdr:rowOff>
    </xdr:to>
    <xdr:cxnSp macro="">
      <xdr:nvCxnSpPr>
        <xdr:cNvPr id="468" name="Connecteur droit 467"/>
        <xdr:cNvCxnSpPr/>
      </xdr:nvCxnSpPr>
      <xdr:spPr>
        <a:xfrm>
          <a:off x="6734175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95250</xdr:rowOff>
    </xdr:from>
    <xdr:to>
      <xdr:col>15</xdr:col>
      <xdr:colOff>0</xdr:colOff>
      <xdr:row>12</xdr:row>
      <xdr:rowOff>95250</xdr:rowOff>
    </xdr:to>
    <xdr:cxnSp macro="">
      <xdr:nvCxnSpPr>
        <xdr:cNvPr id="469" name="Connecteur droit 468"/>
        <xdr:cNvCxnSpPr/>
      </xdr:nvCxnSpPr>
      <xdr:spPr>
        <a:xfrm>
          <a:off x="6486525" y="2381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12700</xdr:colOff>
      <xdr:row>17</xdr:row>
      <xdr:rowOff>0</xdr:rowOff>
    </xdr:to>
    <xdr:sp macro="" textlink="">
      <xdr:nvSpPr>
        <xdr:cNvPr id="470" name="Rectangle 469"/>
        <xdr:cNvSpPr/>
      </xdr:nvSpPr>
      <xdr:spPr>
        <a:xfrm>
          <a:off x="8201025" y="304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16</xdr:row>
      <xdr:rowOff>95250</xdr:rowOff>
    </xdr:from>
    <xdr:to>
      <xdr:col>17</xdr:col>
      <xdr:colOff>0</xdr:colOff>
      <xdr:row>16</xdr:row>
      <xdr:rowOff>95250</xdr:rowOff>
    </xdr:to>
    <xdr:cxnSp macro="">
      <xdr:nvCxnSpPr>
        <xdr:cNvPr id="471" name="Connecteur droit 470"/>
        <xdr:cNvCxnSpPr/>
      </xdr:nvCxnSpPr>
      <xdr:spPr>
        <a:xfrm>
          <a:off x="6734175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95250</xdr:rowOff>
    </xdr:from>
    <xdr:to>
      <xdr:col>15</xdr:col>
      <xdr:colOff>0</xdr:colOff>
      <xdr:row>16</xdr:row>
      <xdr:rowOff>95250</xdr:rowOff>
    </xdr:to>
    <xdr:cxnSp macro="">
      <xdr:nvCxnSpPr>
        <xdr:cNvPr id="472" name="Connecteur droit 471"/>
        <xdr:cNvCxnSpPr/>
      </xdr:nvCxnSpPr>
      <xdr:spPr>
        <a:xfrm>
          <a:off x="6486525" y="2381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82" name="Rectangle 181"/>
        <xdr:cNvSpPr/>
      </xdr:nvSpPr>
      <xdr:spPr>
        <a:xfrm>
          <a:off x="619125" y="3810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0</xdr:col>
      <xdr:colOff>0</xdr:colOff>
      <xdr:row>20</xdr:row>
      <xdr:rowOff>95250</xdr:rowOff>
    </xdr:from>
    <xdr:to>
      <xdr:col>1</xdr:col>
      <xdr:colOff>0</xdr:colOff>
      <xdr:row>20</xdr:row>
      <xdr:rowOff>95250</xdr:rowOff>
    </xdr:to>
    <xdr:cxnSp macro="">
      <xdr:nvCxnSpPr>
        <xdr:cNvPr id="183" name="Connecteur droit 182"/>
        <xdr:cNvCxnSpPr/>
      </xdr:nvCxnSpPr>
      <xdr:spPr>
        <a:xfrm>
          <a:off x="0" y="3905250"/>
          <a:ext cx="619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20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184" name="Ellipse 183"/>
        <xdr:cNvSpPr/>
      </xdr:nvSpPr>
      <xdr:spPr>
        <a:xfrm>
          <a:off x="2514600" y="3810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3</xdr:col>
      <xdr:colOff>0</xdr:colOff>
      <xdr:row>20</xdr:row>
      <xdr:rowOff>95250</xdr:rowOff>
    </xdr:from>
    <xdr:to>
      <xdr:col>5</xdr:col>
      <xdr:colOff>0</xdr:colOff>
      <xdr:row>20</xdr:row>
      <xdr:rowOff>95250</xdr:rowOff>
    </xdr:to>
    <xdr:cxnSp macro="">
      <xdr:nvCxnSpPr>
        <xdr:cNvPr id="185" name="Connecteur droit 184"/>
        <xdr:cNvCxnSpPr/>
      </xdr:nvCxnSpPr>
      <xdr:spPr>
        <a:xfrm>
          <a:off x="1047750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95250</xdr:rowOff>
    </xdr:from>
    <xdr:to>
      <xdr:col>3</xdr:col>
      <xdr:colOff>0</xdr:colOff>
      <xdr:row>20</xdr:row>
      <xdr:rowOff>95250</xdr:rowOff>
    </xdr:to>
    <xdr:cxnSp macro="">
      <xdr:nvCxnSpPr>
        <xdr:cNvPr id="186" name="Connecteur droit 185"/>
        <xdr:cNvCxnSpPr/>
      </xdr:nvCxnSpPr>
      <xdr:spPr>
        <a:xfrm>
          <a:off x="800100" y="3905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12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87" name="Rectangle 186"/>
        <xdr:cNvSpPr/>
      </xdr:nvSpPr>
      <xdr:spPr>
        <a:xfrm>
          <a:off x="4410075" y="2286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12</xdr:row>
      <xdr:rowOff>95250</xdr:rowOff>
    </xdr:from>
    <xdr:to>
      <xdr:col>9</xdr:col>
      <xdr:colOff>0</xdr:colOff>
      <xdr:row>12</xdr:row>
      <xdr:rowOff>95250</xdr:rowOff>
    </xdr:to>
    <xdr:cxnSp macro="">
      <xdr:nvCxnSpPr>
        <xdr:cNvPr id="188" name="Connecteur droit 187"/>
        <xdr:cNvCxnSpPr/>
      </xdr:nvCxnSpPr>
      <xdr:spPr>
        <a:xfrm>
          <a:off x="2943225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95250</xdr:rowOff>
    </xdr:from>
    <xdr:to>
      <xdr:col>7</xdr:col>
      <xdr:colOff>0</xdr:colOff>
      <xdr:row>20</xdr:row>
      <xdr:rowOff>95250</xdr:rowOff>
    </xdr:to>
    <xdr:cxnSp macro="">
      <xdr:nvCxnSpPr>
        <xdr:cNvPr id="189" name="Connecteur droit 188"/>
        <xdr:cNvCxnSpPr/>
      </xdr:nvCxnSpPr>
      <xdr:spPr>
        <a:xfrm flipV="1">
          <a:off x="2695575" y="2381250"/>
          <a:ext cx="247650" cy="1524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28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90" name="Rectangle 189"/>
        <xdr:cNvSpPr/>
      </xdr:nvSpPr>
      <xdr:spPr>
        <a:xfrm>
          <a:off x="4410075" y="5334000"/>
          <a:ext cx="180975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7</xdr:col>
      <xdr:colOff>0</xdr:colOff>
      <xdr:row>28</xdr:row>
      <xdr:rowOff>95250</xdr:rowOff>
    </xdr:from>
    <xdr:to>
      <xdr:col>9</xdr:col>
      <xdr:colOff>0</xdr:colOff>
      <xdr:row>28</xdr:row>
      <xdr:rowOff>95250</xdr:rowOff>
    </xdr:to>
    <xdr:cxnSp macro="">
      <xdr:nvCxnSpPr>
        <xdr:cNvPr id="191" name="Connecteur droit 190"/>
        <xdr:cNvCxnSpPr/>
      </xdr:nvCxnSpPr>
      <xdr:spPr>
        <a:xfrm>
          <a:off x="2943225" y="542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95250</xdr:rowOff>
    </xdr:from>
    <xdr:to>
      <xdr:col>7</xdr:col>
      <xdr:colOff>0</xdr:colOff>
      <xdr:row>28</xdr:row>
      <xdr:rowOff>95250</xdr:rowOff>
    </xdr:to>
    <xdr:cxnSp macro="">
      <xdr:nvCxnSpPr>
        <xdr:cNvPr id="192" name="Connecteur droit 191"/>
        <xdr:cNvCxnSpPr/>
      </xdr:nvCxnSpPr>
      <xdr:spPr>
        <a:xfrm>
          <a:off x="2695575" y="3905250"/>
          <a:ext cx="247650" cy="1524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8</xdr:row>
      <xdr:rowOff>0</xdr:rowOff>
    </xdr:from>
    <xdr:to>
      <xdr:col>14</xdr:col>
      <xdr:colOff>0</xdr:colOff>
      <xdr:row>9</xdr:row>
      <xdr:rowOff>0</xdr:rowOff>
    </xdr:to>
    <xdr:sp macro="" textlink="">
      <xdr:nvSpPr>
        <xdr:cNvPr id="193" name="Ellipse 192"/>
        <xdr:cNvSpPr/>
      </xdr:nvSpPr>
      <xdr:spPr>
        <a:xfrm>
          <a:off x="6305550" y="1524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8</xdr:row>
      <xdr:rowOff>95250</xdr:rowOff>
    </xdr:from>
    <xdr:to>
      <xdr:col>13</xdr:col>
      <xdr:colOff>0</xdr:colOff>
      <xdr:row>8</xdr:row>
      <xdr:rowOff>95250</xdr:rowOff>
    </xdr:to>
    <xdr:cxnSp macro="">
      <xdr:nvCxnSpPr>
        <xdr:cNvPr id="194" name="Connecteur droit 193"/>
        <xdr:cNvCxnSpPr/>
      </xdr:nvCxnSpPr>
      <xdr:spPr>
        <a:xfrm>
          <a:off x="4838700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195" name="Connecteur droit 194"/>
        <xdr:cNvCxnSpPr/>
      </xdr:nvCxnSpPr>
      <xdr:spPr>
        <a:xfrm flipV="1">
          <a:off x="4591050" y="161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16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96" name="Ellipse 195"/>
        <xdr:cNvSpPr/>
      </xdr:nvSpPr>
      <xdr:spPr>
        <a:xfrm>
          <a:off x="6305550" y="3048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16</xdr:row>
      <xdr:rowOff>95250</xdr:rowOff>
    </xdr:from>
    <xdr:to>
      <xdr:col>13</xdr:col>
      <xdr:colOff>0</xdr:colOff>
      <xdr:row>16</xdr:row>
      <xdr:rowOff>95250</xdr:rowOff>
    </xdr:to>
    <xdr:cxnSp macro="">
      <xdr:nvCxnSpPr>
        <xdr:cNvPr id="197" name="Connecteur droit 196"/>
        <xdr:cNvCxnSpPr/>
      </xdr:nvCxnSpPr>
      <xdr:spPr>
        <a:xfrm>
          <a:off x="4838700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198" name="Connecteur droit 197"/>
        <xdr:cNvCxnSpPr/>
      </xdr:nvCxnSpPr>
      <xdr:spPr>
        <a:xfrm>
          <a:off x="4591050" y="2381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12700</xdr:colOff>
      <xdr:row>13</xdr:row>
      <xdr:rowOff>0</xdr:rowOff>
    </xdr:to>
    <xdr:sp macro="" textlink="">
      <xdr:nvSpPr>
        <xdr:cNvPr id="199" name="Rectangle 198"/>
        <xdr:cNvSpPr/>
      </xdr:nvSpPr>
      <xdr:spPr>
        <a:xfrm>
          <a:off x="8201025" y="228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12</xdr:row>
      <xdr:rowOff>95250</xdr:rowOff>
    </xdr:from>
    <xdr:to>
      <xdr:col>17</xdr:col>
      <xdr:colOff>0</xdr:colOff>
      <xdr:row>12</xdr:row>
      <xdr:rowOff>95250</xdr:rowOff>
    </xdr:to>
    <xdr:cxnSp macro="">
      <xdr:nvCxnSpPr>
        <xdr:cNvPr id="200" name="Connecteur droit 199"/>
        <xdr:cNvCxnSpPr/>
      </xdr:nvCxnSpPr>
      <xdr:spPr>
        <a:xfrm>
          <a:off x="6734175" y="238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95250</xdr:rowOff>
    </xdr:from>
    <xdr:to>
      <xdr:col>15</xdr:col>
      <xdr:colOff>0</xdr:colOff>
      <xdr:row>16</xdr:row>
      <xdr:rowOff>95250</xdr:rowOff>
    </xdr:to>
    <xdr:cxnSp macro="">
      <xdr:nvCxnSpPr>
        <xdr:cNvPr id="201" name="Connecteur droit 200"/>
        <xdr:cNvCxnSpPr/>
      </xdr:nvCxnSpPr>
      <xdr:spPr>
        <a:xfrm flipV="1">
          <a:off x="6486525" y="2381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12700</xdr:colOff>
      <xdr:row>17</xdr:row>
      <xdr:rowOff>0</xdr:rowOff>
    </xdr:to>
    <xdr:sp macro="" textlink="">
      <xdr:nvSpPr>
        <xdr:cNvPr id="202" name="Rectangle 201"/>
        <xdr:cNvSpPr/>
      </xdr:nvSpPr>
      <xdr:spPr>
        <a:xfrm>
          <a:off x="8201025" y="304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16</xdr:row>
      <xdr:rowOff>95250</xdr:rowOff>
    </xdr:from>
    <xdr:to>
      <xdr:col>17</xdr:col>
      <xdr:colOff>0</xdr:colOff>
      <xdr:row>16</xdr:row>
      <xdr:rowOff>95250</xdr:rowOff>
    </xdr:to>
    <xdr:cxnSp macro="">
      <xdr:nvCxnSpPr>
        <xdr:cNvPr id="203" name="Connecteur droit 202"/>
        <xdr:cNvCxnSpPr/>
      </xdr:nvCxnSpPr>
      <xdr:spPr>
        <a:xfrm>
          <a:off x="6734175" y="314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95250</xdr:rowOff>
    </xdr:from>
    <xdr:to>
      <xdr:col>15</xdr:col>
      <xdr:colOff>0</xdr:colOff>
      <xdr:row>16</xdr:row>
      <xdr:rowOff>95250</xdr:rowOff>
    </xdr:to>
    <xdr:cxnSp macro="">
      <xdr:nvCxnSpPr>
        <xdr:cNvPr id="204" name="Connecteur droit 203"/>
        <xdr:cNvCxnSpPr/>
      </xdr:nvCxnSpPr>
      <xdr:spPr>
        <a:xfrm>
          <a:off x="6486525" y="3143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12700</xdr:colOff>
      <xdr:row>21</xdr:row>
      <xdr:rowOff>0</xdr:rowOff>
    </xdr:to>
    <xdr:sp macro="" textlink="">
      <xdr:nvSpPr>
        <xdr:cNvPr id="205" name="Rectangle 204"/>
        <xdr:cNvSpPr/>
      </xdr:nvSpPr>
      <xdr:spPr>
        <a:xfrm>
          <a:off x="8201025" y="3810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20</xdr:row>
      <xdr:rowOff>95250</xdr:rowOff>
    </xdr:from>
    <xdr:to>
      <xdr:col>17</xdr:col>
      <xdr:colOff>0</xdr:colOff>
      <xdr:row>20</xdr:row>
      <xdr:rowOff>95250</xdr:rowOff>
    </xdr:to>
    <xdr:cxnSp macro="">
      <xdr:nvCxnSpPr>
        <xdr:cNvPr id="206" name="Connecteur droit 205"/>
        <xdr:cNvCxnSpPr/>
      </xdr:nvCxnSpPr>
      <xdr:spPr>
        <a:xfrm>
          <a:off x="6734175" y="3905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95250</xdr:rowOff>
    </xdr:from>
    <xdr:to>
      <xdr:col>15</xdr:col>
      <xdr:colOff>0</xdr:colOff>
      <xdr:row>20</xdr:row>
      <xdr:rowOff>95250</xdr:rowOff>
    </xdr:to>
    <xdr:cxnSp macro="">
      <xdr:nvCxnSpPr>
        <xdr:cNvPr id="207" name="Connecteur droit 206"/>
        <xdr:cNvCxnSpPr/>
      </xdr:nvCxnSpPr>
      <xdr:spPr>
        <a:xfrm>
          <a:off x="6486525" y="3143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208" name="Ellipse 207"/>
        <xdr:cNvSpPr/>
      </xdr:nvSpPr>
      <xdr:spPr>
        <a:xfrm>
          <a:off x="6305550" y="4572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24</xdr:row>
      <xdr:rowOff>95250</xdr:rowOff>
    </xdr:from>
    <xdr:to>
      <xdr:col>13</xdr:col>
      <xdr:colOff>0</xdr:colOff>
      <xdr:row>24</xdr:row>
      <xdr:rowOff>95250</xdr:rowOff>
    </xdr:to>
    <xdr:cxnSp macro="">
      <xdr:nvCxnSpPr>
        <xdr:cNvPr id="209" name="Connecteur droit 208"/>
        <xdr:cNvCxnSpPr/>
      </xdr:nvCxnSpPr>
      <xdr:spPr>
        <a:xfrm>
          <a:off x="4838700" y="466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95250</xdr:rowOff>
    </xdr:from>
    <xdr:to>
      <xdr:col>11</xdr:col>
      <xdr:colOff>0</xdr:colOff>
      <xdr:row>28</xdr:row>
      <xdr:rowOff>95250</xdr:rowOff>
    </xdr:to>
    <xdr:cxnSp macro="">
      <xdr:nvCxnSpPr>
        <xdr:cNvPr id="210" name="Connecteur droit 209"/>
        <xdr:cNvCxnSpPr/>
      </xdr:nvCxnSpPr>
      <xdr:spPr>
        <a:xfrm flipV="1">
          <a:off x="4591050" y="4667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0</xdr:colOff>
      <xdr:row>32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211" name="Ellipse 210"/>
        <xdr:cNvSpPr/>
      </xdr:nvSpPr>
      <xdr:spPr>
        <a:xfrm>
          <a:off x="6305550" y="6096000"/>
          <a:ext cx="180975" cy="190500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11</xdr:col>
      <xdr:colOff>0</xdr:colOff>
      <xdr:row>32</xdr:row>
      <xdr:rowOff>95250</xdr:rowOff>
    </xdr:from>
    <xdr:to>
      <xdr:col>13</xdr:col>
      <xdr:colOff>0</xdr:colOff>
      <xdr:row>32</xdr:row>
      <xdr:rowOff>95250</xdr:rowOff>
    </xdr:to>
    <xdr:cxnSp macro="">
      <xdr:nvCxnSpPr>
        <xdr:cNvPr id="212" name="Connecteur droit 211"/>
        <xdr:cNvCxnSpPr/>
      </xdr:nvCxnSpPr>
      <xdr:spPr>
        <a:xfrm>
          <a:off x="4838700" y="619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95250</xdr:rowOff>
    </xdr:from>
    <xdr:to>
      <xdr:col>11</xdr:col>
      <xdr:colOff>0</xdr:colOff>
      <xdr:row>32</xdr:row>
      <xdr:rowOff>95250</xdr:rowOff>
    </xdr:to>
    <xdr:cxnSp macro="">
      <xdr:nvCxnSpPr>
        <xdr:cNvPr id="213" name="Connecteur droit 212"/>
        <xdr:cNvCxnSpPr/>
      </xdr:nvCxnSpPr>
      <xdr:spPr>
        <a:xfrm>
          <a:off x="4591050" y="542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12700</xdr:colOff>
      <xdr:row>9</xdr:row>
      <xdr:rowOff>0</xdr:rowOff>
    </xdr:to>
    <xdr:sp macro="" textlink="">
      <xdr:nvSpPr>
        <xdr:cNvPr id="214" name="Rectangle 213"/>
        <xdr:cNvSpPr/>
      </xdr:nvSpPr>
      <xdr:spPr>
        <a:xfrm>
          <a:off x="8201025" y="152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8</xdr:row>
      <xdr:rowOff>95250</xdr:rowOff>
    </xdr:from>
    <xdr:to>
      <xdr:col>17</xdr:col>
      <xdr:colOff>0</xdr:colOff>
      <xdr:row>8</xdr:row>
      <xdr:rowOff>95250</xdr:rowOff>
    </xdr:to>
    <xdr:cxnSp macro="">
      <xdr:nvCxnSpPr>
        <xdr:cNvPr id="215" name="Connecteur droit 214"/>
        <xdr:cNvCxnSpPr/>
      </xdr:nvCxnSpPr>
      <xdr:spPr>
        <a:xfrm>
          <a:off x="6734175" y="161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</xdr:row>
      <xdr:rowOff>95250</xdr:rowOff>
    </xdr:from>
    <xdr:to>
      <xdr:col>15</xdr:col>
      <xdr:colOff>0</xdr:colOff>
      <xdr:row>8</xdr:row>
      <xdr:rowOff>95250</xdr:rowOff>
    </xdr:to>
    <xdr:cxnSp macro="">
      <xdr:nvCxnSpPr>
        <xdr:cNvPr id="216" name="Connecteur droit 215"/>
        <xdr:cNvCxnSpPr/>
      </xdr:nvCxnSpPr>
      <xdr:spPr>
        <a:xfrm>
          <a:off x="6486525" y="1619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12700</xdr:colOff>
      <xdr:row>25</xdr:row>
      <xdr:rowOff>0</xdr:rowOff>
    </xdr:to>
    <xdr:sp macro="" textlink="">
      <xdr:nvSpPr>
        <xdr:cNvPr id="217" name="Rectangle 216"/>
        <xdr:cNvSpPr/>
      </xdr:nvSpPr>
      <xdr:spPr>
        <a:xfrm>
          <a:off x="8201025" y="4572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24</xdr:row>
      <xdr:rowOff>95250</xdr:rowOff>
    </xdr:from>
    <xdr:to>
      <xdr:col>17</xdr:col>
      <xdr:colOff>0</xdr:colOff>
      <xdr:row>24</xdr:row>
      <xdr:rowOff>95250</xdr:rowOff>
    </xdr:to>
    <xdr:cxnSp macro="">
      <xdr:nvCxnSpPr>
        <xdr:cNvPr id="218" name="Connecteur droit 217"/>
        <xdr:cNvCxnSpPr/>
      </xdr:nvCxnSpPr>
      <xdr:spPr>
        <a:xfrm>
          <a:off x="6734175" y="4667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24</xdr:row>
      <xdr:rowOff>95250</xdr:rowOff>
    </xdr:from>
    <xdr:to>
      <xdr:col>15</xdr:col>
      <xdr:colOff>0</xdr:colOff>
      <xdr:row>24</xdr:row>
      <xdr:rowOff>95250</xdr:rowOff>
    </xdr:to>
    <xdr:cxnSp macro="">
      <xdr:nvCxnSpPr>
        <xdr:cNvPr id="219" name="Connecteur droit 218"/>
        <xdr:cNvCxnSpPr/>
      </xdr:nvCxnSpPr>
      <xdr:spPr>
        <a:xfrm>
          <a:off x="6486525" y="4667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12700</xdr:colOff>
      <xdr:row>29</xdr:row>
      <xdr:rowOff>0</xdr:rowOff>
    </xdr:to>
    <xdr:sp macro="" textlink="">
      <xdr:nvSpPr>
        <xdr:cNvPr id="220" name="Rectangle 219"/>
        <xdr:cNvSpPr/>
      </xdr:nvSpPr>
      <xdr:spPr>
        <a:xfrm>
          <a:off x="8201025" y="5334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28</xdr:row>
      <xdr:rowOff>95250</xdr:rowOff>
    </xdr:from>
    <xdr:to>
      <xdr:col>17</xdr:col>
      <xdr:colOff>0</xdr:colOff>
      <xdr:row>28</xdr:row>
      <xdr:rowOff>95250</xdr:rowOff>
    </xdr:to>
    <xdr:cxnSp macro="">
      <xdr:nvCxnSpPr>
        <xdr:cNvPr id="221" name="Connecteur droit 220"/>
        <xdr:cNvCxnSpPr/>
      </xdr:nvCxnSpPr>
      <xdr:spPr>
        <a:xfrm>
          <a:off x="6734175" y="5429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</xdr:row>
      <xdr:rowOff>95250</xdr:rowOff>
    </xdr:from>
    <xdr:to>
      <xdr:col>15</xdr:col>
      <xdr:colOff>0</xdr:colOff>
      <xdr:row>32</xdr:row>
      <xdr:rowOff>95250</xdr:rowOff>
    </xdr:to>
    <xdr:cxnSp macro="">
      <xdr:nvCxnSpPr>
        <xdr:cNvPr id="222" name="Connecteur droit 221"/>
        <xdr:cNvCxnSpPr/>
      </xdr:nvCxnSpPr>
      <xdr:spPr>
        <a:xfrm flipV="1">
          <a:off x="6486525" y="5429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12700</xdr:colOff>
      <xdr:row>33</xdr:row>
      <xdr:rowOff>0</xdr:rowOff>
    </xdr:to>
    <xdr:sp macro="" textlink="">
      <xdr:nvSpPr>
        <xdr:cNvPr id="223" name="Rectangle 222"/>
        <xdr:cNvSpPr/>
      </xdr:nvSpPr>
      <xdr:spPr>
        <a:xfrm>
          <a:off x="8201025" y="6096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32</xdr:row>
      <xdr:rowOff>95250</xdr:rowOff>
    </xdr:from>
    <xdr:to>
      <xdr:col>17</xdr:col>
      <xdr:colOff>0</xdr:colOff>
      <xdr:row>32</xdr:row>
      <xdr:rowOff>95250</xdr:rowOff>
    </xdr:to>
    <xdr:cxnSp macro="">
      <xdr:nvCxnSpPr>
        <xdr:cNvPr id="224" name="Connecteur droit 223"/>
        <xdr:cNvCxnSpPr/>
      </xdr:nvCxnSpPr>
      <xdr:spPr>
        <a:xfrm>
          <a:off x="6734175" y="6191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32</xdr:row>
      <xdr:rowOff>95250</xdr:rowOff>
    </xdr:from>
    <xdr:to>
      <xdr:col>15</xdr:col>
      <xdr:colOff>0</xdr:colOff>
      <xdr:row>32</xdr:row>
      <xdr:rowOff>95250</xdr:rowOff>
    </xdr:to>
    <xdr:cxnSp macro="">
      <xdr:nvCxnSpPr>
        <xdr:cNvPr id="225" name="Connecteur droit 224"/>
        <xdr:cNvCxnSpPr/>
      </xdr:nvCxnSpPr>
      <xdr:spPr>
        <a:xfrm>
          <a:off x="6486525" y="6191250"/>
          <a:ext cx="247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12700</xdr:colOff>
      <xdr:row>37</xdr:row>
      <xdr:rowOff>0</xdr:rowOff>
    </xdr:to>
    <xdr:sp macro="" textlink="">
      <xdr:nvSpPr>
        <xdr:cNvPr id="226" name="Rectangle 225"/>
        <xdr:cNvSpPr/>
      </xdr:nvSpPr>
      <xdr:spPr>
        <a:xfrm>
          <a:off x="8201025" y="6858000"/>
          <a:ext cx="12700" cy="190500"/>
        </a:xfrm>
        <a:prstGeom prst="rect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 fLocksWithSheet="0"/>
  </xdr:twoCellAnchor>
  <xdr:twoCellAnchor>
    <xdr:from>
      <xdr:col>15</xdr:col>
      <xdr:colOff>0</xdr:colOff>
      <xdr:row>36</xdr:row>
      <xdr:rowOff>95250</xdr:rowOff>
    </xdr:from>
    <xdr:to>
      <xdr:col>17</xdr:col>
      <xdr:colOff>0</xdr:colOff>
      <xdr:row>36</xdr:row>
      <xdr:rowOff>95250</xdr:rowOff>
    </xdr:to>
    <xdr:cxnSp macro="">
      <xdr:nvCxnSpPr>
        <xdr:cNvPr id="227" name="Connecteur droit 226"/>
        <xdr:cNvCxnSpPr/>
      </xdr:nvCxnSpPr>
      <xdr:spPr>
        <a:xfrm>
          <a:off x="6734175" y="69532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32</xdr:row>
      <xdr:rowOff>95250</xdr:rowOff>
    </xdr:from>
    <xdr:to>
      <xdr:col>15</xdr:col>
      <xdr:colOff>0</xdr:colOff>
      <xdr:row>36</xdr:row>
      <xdr:rowOff>95250</xdr:rowOff>
    </xdr:to>
    <xdr:cxnSp macro="">
      <xdr:nvCxnSpPr>
        <xdr:cNvPr id="228" name="Connecteur droit 227"/>
        <xdr:cNvCxnSpPr/>
      </xdr:nvCxnSpPr>
      <xdr:spPr>
        <a:xfrm>
          <a:off x="6486525" y="6191250"/>
          <a:ext cx="247650" cy="762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E38" sqref="E38"/>
    </sheetView>
  </sheetViews>
  <sheetFormatPr baseColWidth="10" defaultRowHeight="15" x14ac:dyDescent="0.25"/>
  <cols>
    <col min="1" max="1" width="48" style="2" customWidth="1"/>
    <col min="2" max="2" width="11.42578125" style="13"/>
    <col min="3" max="16384" width="11.42578125" style="2"/>
  </cols>
  <sheetData>
    <row r="1" spans="1:4" ht="15.75" x14ac:dyDescent="0.25">
      <c r="A1" s="9" t="s">
        <v>44</v>
      </c>
    </row>
    <row r="4" spans="1:4" x14ac:dyDescent="0.25">
      <c r="A4" s="1" t="s">
        <v>11</v>
      </c>
    </row>
    <row r="5" spans="1:4" ht="15.75" thickBot="1" x14ac:dyDescent="0.3">
      <c r="A5" s="5"/>
      <c r="B5" s="12"/>
    </row>
    <row r="6" spans="1:4" ht="15.75" thickBot="1" x14ac:dyDescent="0.3">
      <c r="A6" s="6" t="s">
        <v>12</v>
      </c>
      <c r="B6" s="14" t="s">
        <v>13</v>
      </c>
    </row>
    <row r="7" spans="1:4" x14ac:dyDescent="0.25">
      <c r="A7" s="18" t="s">
        <v>21</v>
      </c>
      <c r="B7" s="15" t="s">
        <v>18</v>
      </c>
    </row>
    <row r="8" spans="1:4" x14ac:dyDescent="0.25">
      <c r="A8" s="3" t="s">
        <v>20</v>
      </c>
      <c r="B8" s="15" t="s">
        <v>19</v>
      </c>
    </row>
    <row r="9" spans="1:4" x14ac:dyDescent="0.25">
      <c r="A9" s="3" t="s">
        <v>22</v>
      </c>
      <c r="B9" s="15" t="s">
        <v>16</v>
      </c>
    </row>
    <row r="10" spans="1:4" ht="15.75" thickBot="1" x14ac:dyDescent="0.3">
      <c r="A10" s="4" t="s">
        <v>23</v>
      </c>
      <c r="B10" s="16" t="s">
        <v>17</v>
      </c>
    </row>
    <row r="11" spans="1:4" x14ac:dyDescent="0.25">
      <c r="A11" s="5"/>
      <c r="B11" s="19"/>
    </row>
    <row r="12" spans="1:4" x14ac:dyDescent="0.25">
      <c r="A12" s="5"/>
      <c r="B12" s="19"/>
    </row>
    <row r="13" spans="1:4" x14ac:dyDescent="0.25">
      <c r="A13" s="5" t="s">
        <v>14</v>
      </c>
      <c r="B13" s="17"/>
    </row>
    <row r="14" spans="1:4" ht="15.75" thickBot="1" x14ac:dyDescent="0.3">
      <c r="A14" s="5"/>
      <c r="B14" s="12"/>
    </row>
    <row r="15" spans="1:4" ht="15.75" thickBot="1" x14ac:dyDescent="0.3">
      <c r="A15" s="8" t="s">
        <v>15</v>
      </c>
      <c r="B15" s="7" t="s">
        <v>13</v>
      </c>
    </row>
    <row r="16" spans="1:4" x14ac:dyDescent="0.25">
      <c r="A16" s="18" t="s">
        <v>24</v>
      </c>
      <c r="B16" s="20" t="s">
        <v>3</v>
      </c>
      <c r="D16" s="5"/>
    </row>
    <row r="17" spans="1:2" x14ac:dyDescent="0.25">
      <c r="A17" s="3" t="s">
        <v>58</v>
      </c>
      <c r="B17" s="21" t="s">
        <v>5</v>
      </c>
    </row>
    <row r="18" spans="1:2" x14ac:dyDescent="0.25">
      <c r="A18" s="3" t="s">
        <v>25</v>
      </c>
      <c r="B18" s="21" t="s">
        <v>4</v>
      </c>
    </row>
    <row r="19" spans="1:2" x14ac:dyDescent="0.25">
      <c r="A19" s="3" t="s">
        <v>26</v>
      </c>
      <c r="B19" s="21" t="s">
        <v>6</v>
      </c>
    </row>
    <row r="20" spans="1:2" ht="15.75" thickBot="1" x14ac:dyDescent="0.3">
      <c r="A20" s="4" t="s">
        <v>27</v>
      </c>
      <c r="B20" s="22" t="s">
        <v>7</v>
      </c>
    </row>
    <row r="21" spans="1:2" x14ac:dyDescent="0.25">
      <c r="A21" s="5"/>
      <c r="B21" s="12"/>
    </row>
    <row r="22" spans="1:2" x14ac:dyDescent="0.25">
      <c r="B22" s="12"/>
    </row>
    <row r="23" spans="1:2" x14ac:dyDescent="0.25">
      <c r="A23" s="1" t="s">
        <v>32</v>
      </c>
      <c r="B23" s="12"/>
    </row>
    <row r="24" spans="1:2" ht="15.75" thickBot="1" x14ac:dyDescent="0.3">
      <c r="B24" s="12"/>
    </row>
    <row r="25" spans="1:2" x14ac:dyDescent="0.25">
      <c r="A25" s="8" t="s">
        <v>28</v>
      </c>
      <c r="B25" s="23">
        <v>850</v>
      </c>
    </row>
    <row r="26" spans="1:2" x14ac:dyDescent="0.25">
      <c r="A26" s="10" t="s">
        <v>29</v>
      </c>
      <c r="B26" s="24">
        <v>2400</v>
      </c>
    </row>
    <row r="27" spans="1:2" x14ac:dyDescent="0.25">
      <c r="A27" s="10" t="s">
        <v>30</v>
      </c>
      <c r="B27" s="24">
        <v>1000</v>
      </c>
    </row>
    <row r="28" spans="1:2" ht="15.75" thickBot="1" x14ac:dyDescent="0.3">
      <c r="A28" s="11" t="s">
        <v>31</v>
      </c>
      <c r="B28" s="25">
        <v>200</v>
      </c>
    </row>
    <row r="29" spans="1:2" x14ac:dyDescent="0.25">
      <c r="B29" s="12"/>
    </row>
    <row r="30" spans="1:2" x14ac:dyDescent="0.25">
      <c r="B30" s="12"/>
    </row>
    <row r="31" spans="1:2" ht="15.75" thickBot="1" x14ac:dyDescent="0.3">
      <c r="A31" t="s">
        <v>40</v>
      </c>
      <c r="B31" s="12"/>
    </row>
    <row r="32" spans="1:2" x14ac:dyDescent="0.25">
      <c r="A32" s="26" t="s">
        <v>37</v>
      </c>
      <c r="B32" s="27">
        <v>0.5</v>
      </c>
    </row>
    <row r="33" spans="1:2" x14ac:dyDescent="0.25">
      <c r="A33" s="28" t="s">
        <v>39</v>
      </c>
      <c r="B33" s="29">
        <v>0.3</v>
      </c>
    </row>
    <row r="34" spans="1:2" ht="15.75" thickBot="1" x14ac:dyDescent="0.3">
      <c r="A34" s="30" t="s">
        <v>38</v>
      </c>
      <c r="B34" s="31">
        <v>0.2</v>
      </c>
    </row>
    <row r="35" spans="1:2" x14ac:dyDescent="0.25">
      <c r="A35" s="5"/>
      <c r="B35" s="12"/>
    </row>
    <row r="36" spans="1:2" x14ac:dyDescent="0.25">
      <c r="A36" s="5"/>
      <c r="B36" s="12"/>
    </row>
    <row r="37" spans="1:2" x14ac:dyDescent="0.25">
      <c r="A37" s="5"/>
      <c r="B37" s="12"/>
    </row>
    <row r="38" spans="1:2" x14ac:dyDescent="0.25">
      <c r="A38" s="5"/>
      <c r="B38" s="12"/>
    </row>
    <row r="39" spans="1:2" x14ac:dyDescent="0.25">
      <c r="A39" s="5"/>
      <c r="B39" s="2"/>
    </row>
    <row r="40" spans="1:2" x14ac:dyDescent="0.25">
      <c r="A40" s="5"/>
      <c r="B40" s="2"/>
    </row>
    <row r="41" spans="1:2" x14ac:dyDescent="0.25">
      <c r="B41" s="2"/>
    </row>
    <row r="42" spans="1:2" x14ac:dyDescent="0.25">
      <c r="A42" s="1"/>
      <c r="B42" s="2"/>
    </row>
    <row r="43" spans="1:2" x14ac:dyDescent="0.25">
      <c r="B43" s="2"/>
    </row>
    <row r="44" spans="1:2" x14ac:dyDescent="0.25">
      <c r="B44" s="2"/>
    </row>
    <row r="45" spans="1:2" x14ac:dyDescent="0.25">
      <c r="B45" s="2"/>
    </row>
    <row r="46" spans="1:2" x14ac:dyDescent="0.25">
      <c r="B46" s="2"/>
    </row>
    <row r="47" spans="1:2" x14ac:dyDescent="0.25">
      <c r="B47" s="2"/>
    </row>
    <row r="48" spans="1:2" x14ac:dyDescent="0.25">
      <c r="B48" s="2"/>
    </row>
    <row r="49" spans="1:2" x14ac:dyDescent="0.25">
      <c r="B49" s="2"/>
    </row>
    <row r="50" spans="1:2" x14ac:dyDescent="0.25">
      <c r="B50" s="2"/>
    </row>
    <row r="51" spans="1:2" x14ac:dyDescent="0.25">
      <c r="A51" s="10"/>
      <c r="B51" s="2"/>
    </row>
    <row r="52" spans="1:2" x14ac:dyDescent="0.25">
      <c r="B52" s="2"/>
    </row>
    <row r="53" spans="1:2" x14ac:dyDescent="0.25">
      <c r="B5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5" sqref="F15"/>
    </sheetView>
  </sheetViews>
  <sheetFormatPr baseColWidth="10" defaultRowHeight="15" x14ac:dyDescent="0.25"/>
  <cols>
    <col min="1" max="2" width="11.42578125" style="2"/>
    <col min="3" max="3" width="11.42578125" style="77"/>
    <col min="4" max="16384" width="11.42578125" style="2"/>
  </cols>
  <sheetData>
    <row r="1" spans="1:3" ht="15.75" x14ac:dyDescent="0.25">
      <c r="A1" s="9" t="s">
        <v>44</v>
      </c>
    </row>
    <row r="4" spans="1:3" ht="15.75" thickBot="1" x14ac:dyDescent="0.3">
      <c r="A4" s="1" t="s">
        <v>41</v>
      </c>
    </row>
    <row r="5" spans="1:3" x14ac:dyDescent="0.25">
      <c r="A5" s="8" t="s">
        <v>19</v>
      </c>
      <c r="B5" s="69"/>
      <c r="C5" s="78">
        <v>0</v>
      </c>
    </row>
    <row r="6" spans="1:3" x14ac:dyDescent="0.25">
      <c r="A6" s="10" t="s">
        <v>18</v>
      </c>
      <c r="B6" s="5" t="s">
        <v>3</v>
      </c>
      <c r="C6" s="79">
        <f>RS-Fr</f>
        <v>1550</v>
      </c>
    </row>
    <row r="7" spans="1:3" x14ac:dyDescent="0.25">
      <c r="A7" s="10"/>
      <c r="B7" s="5" t="s">
        <v>5</v>
      </c>
      <c r="C7" s="79">
        <f>RM-Fr</f>
        <v>150</v>
      </c>
    </row>
    <row r="8" spans="1:3" ht="15.75" thickBot="1" x14ac:dyDescent="0.3">
      <c r="A8" s="11"/>
      <c r="B8" s="72" t="s">
        <v>4</v>
      </c>
      <c r="C8" s="80">
        <f>RF-Fr</f>
        <v>-650</v>
      </c>
    </row>
    <row r="11" spans="1:3" ht="15.75" thickBot="1" x14ac:dyDescent="0.3">
      <c r="A11" s="1" t="s">
        <v>42</v>
      </c>
    </row>
    <row r="12" spans="1:3" x14ac:dyDescent="0.25">
      <c r="A12" s="8" t="s">
        <v>19</v>
      </c>
      <c r="B12" s="69"/>
      <c r="C12" s="78">
        <v>0</v>
      </c>
    </row>
    <row r="13" spans="1:3" ht="15.75" thickBot="1" x14ac:dyDescent="0.3">
      <c r="A13" s="11" t="s">
        <v>18</v>
      </c>
      <c r="B13" s="81"/>
      <c r="C13" s="82">
        <f>PbS*C6+PbM*C7+PbF*C8</f>
        <v>690</v>
      </c>
    </row>
    <row r="14" spans="1:3" x14ac:dyDescent="0.25">
      <c r="A14" s="13"/>
    </row>
    <row r="15" spans="1:3" x14ac:dyDescent="0.25">
      <c r="A15" s="13"/>
    </row>
    <row r="16" spans="1:3" x14ac:dyDescent="0.25">
      <c r="A1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51" sqref="K51"/>
    </sheetView>
  </sheetViews>
  <sheetFormatPr baseColWidth="10" defaultRowHeight="15" x14ac:dyDescent="0.25"/>
  <cols>
    <col min="1" max="16384" width="11.42578125" style="2"/>
  </cols>
  <sheetData>
    <row r="1" spans="1:9" ht="15.75" x14ac:dyDescent="0.25">
      <c r="A1" s="9" t="s">
        <v>44</v>
      </c>
    </row>
    <row r="4" spans="1:9" ht="15.75" x14ac:dyDescent="0.25">
      <c r="A4" s="95" t="s">
        <v>0</v>
      </c>
      <c r="B4" s="95"/>
      <c r="C4" s="96"/>
      <c r="D4" s="96"/>
      <c r="E4" s="96"/>
      <c r="F4" s="96"/>
      <c r="G4" s="96"/>
      <c r="H4" s="96"/>
    </row>
    <row r="5" spans="1:9" ht="15.75" thickBot="1" x14ac:dyDescent="0.3"/>
    <row r="6" spans="1:9" ht="15.75" thickBot="1" x14ac:dyDescent="0.3">
      <c r="A6" s="2" t="s">
        <v>2</v>
      </c>
      <c r="E6" s="91"/>
      <c r="F6" s="32" t="s">
        <v>3</v>
      </c>
      <c r="G6" s="33" t="s">
        <v>5</v>
      </c>
      <c r="H6" s="34" t="s">
        <v>4</v>
      </c>
      <c r="I6" s="35" t="s">
        <v>1</v>
      </c>
    </row>
    <row r="7" spans="1:9" ht="15.75" thickBot="1" x14ac:dyDescent="0.3">
      <c r="A7" s="1"/>
      <c r="E7" s="91"/>
      <c r="F7" s="36">
        <f>PbS</f>
        <v>0.5</v>
      </c>
      <c r="G7" s="37">
        <f>PbM</f>
        <v>0.3</v>
      </c>
      <c r="H7" s="38">
        <f>PbF</f>
        <v>0.2</v>
      </c>
      <c r="I7" s="39">
        <f>SUM(F7:H7)</f>
        <v>1</v>
      </c>
    </row>
    <row r="8" spans="1:9" ht="15.75" thickBot="1" x14ac:dyDescent="0.3">
      <c r="E8" s="40"/>
      <c r="F8" s="41"/>
      <c r="G8" s="41"/>
      <c r="H8" s="41"/>
      <c r="I8" s="42"/>
    </row>
    <row r="9" spans="1:9" ht="15.75" thickBot="1" x14ac:dyDescent="0.3">
      <c r="A9" s="2" t="s">
        <v>8</v>
      </c>
      <c r="E9" s="91"/>
      <c r="F9" s="32" t="s">
        <v>3</v>
      </c>
      <c r="G9" s="33" t="s">
        <v>5</v>
      </c>
      <c r="H9" s="34" t="s">
        <v>4</v>
      </c>
      <c r="I9" s="42"/>
    </row>
    <row r="10" spans="1:9" x14ac:dyDescent="0.25">
      <c r="E10" s="43" t="s">
        <v>6</v>
      </c>
      <c r="F10" s="44">
        <v>0.9</v>
      </c>
      <c r="G10" s="45">
        <v>0.5</v>
      </c>
      <c r="H10" s="46">
        <v>0.1</v>
      </c>
      <c r="I10" s="42"/>
    </row>
    <row r="11" spans="1:9" ht="15.75" thickBot="1" x14ac:dyDescent="0.3">
      <c r="E11" s="47" t="s">
        <v>7</v>
      </c>
      <c r="F11" s="48">
        <v>0.1</v>
      </c>
      <c r="G11" s="49">
        <v>0.5</v>
      </c>
      <c r="H11" s="50">
        <v>0.9</v>
      </c>
      <c r="I11" s="42"/>
    </row>
    <row r="12" spans="1:9" ht="15.75" thickBot="1" x14ac:dyDescent="0.3">
      <c r="E12" s="51" t="s">
        <v>1</v>
      </c>
      <c r="F12" s="52">
        <f>SUM(F10:F11)</f>
        <v>1</v>
      </c>
      <c r="G12" s="53">
        <f>SUM(G10:G11)</f>
        <v>1</v>
      </c>
      <c r="H12" s="38">
        <f>SUM(H10:H11)</f>
        <v>1</v>
      </c>
      <c r="I12" s="42"/>
    </row>
    <row r="13" spans="1:9" ht="15.75" thickBot="1" x14ac:dyDescent="0.3">
      <c r="A13" s="40"/>
      <c r="E13" s="40"/>
      <c r="F13" s="41"/>
      <c r="G13" s="41"/>
      <c r="H13" s="41"/>
      <c r="I13" s="42"/>
    </row>
    <row r="14" spans="1:9" ht="15.75" thickBot="1" x14ac:dyDescent="0.3">
      <c r="A14" s="2" t="s">
        <v>9</v>
      </c>
      <c r="E14" s="91"/>
      <c r="F14" s="54" t="s">
        <v>3</v>
      </c>
      <c r="G14" s="55" t="s">
        <v>5</v>
      </c>
      <c r="H14" s="56" t="s">
        <v>4</v>
      </c>
      <c r="I14" s="35" t="s">
        <v>1</v>
      </c>
    </row>
    <row r="15" spans="1:9" x14ac:dyDescent="0.25">
      <c r="E15" s="57" t="s">
        <v>6</v>
      </c>
      <c r="F15" s="44">
        <f>F$7*F10</f>
        <v>0.45</v>
      </c>
      <c r="G15" s="45">
        <f t="shared" ref="G15:G16" si="0">G$7*G10</f>
        <v>0.15</v>
      </c>
      <c r="H15" s="46">
        <f t="shared" ref="H15:H16" si="1">H$7*H10</f>
        <v>2.0000000000000004E-2</v>
      </c>
      <c r="I15" s="58">
        <f>SUM(F15:H15)</f>
        <v>0.62</v>
      </c>
    </row>
    <row r="16" spans="1:9" ht="15.75" thickBot="1" x14ac:dyDescent="0.3">
      <c r="E16" s="59" t="s">
        <v>7</v>
      </c>
      <c r="F16" s="36">
        <f t="shared" ref="F16" si="2">F$7*F11</f>
        <v>0.05</v>
      </c>
      <c r="G16" s="37">
        <f t="shared" si="0"/>
        <v>0.15</v>
      </c>
      <c r="H16" s="60">
        <f t="shared" si="1"/>
        <v>0.18000000000000002</v>
      </c>
      <c r="I16" s="61">
        <f>SUM(F16:H16)</f>
        <v>0.38</v>
      </c>
    </row>
    <row r="17" spans="1:9" ht="15.75" thickBot="1" x14ac:dyDescent="0.3">
      <c r="E17" s="62" t="s">
        <v>1</v>
      </c>
      <c r="F17" s="36">
        <f>SUM(F15:F16)</f>
        <v>0.5</v>
      </c>
      <c r="G17" s="37">
        <f>SUM(G15:G16)</f>
        <v>0.3</v>
      </c>
      <c r="H17" s="60">
        <f>SUM(H15:H16)</f>
        <v>0.2</v>
      </c>
      <c r="I17" s="39">
        <f>SUM(F17:H17)</f>
        <v>1</v>
      </c>
    </row>
    <row r="18" spans="1:9" ht="15.75" thickBot="1" x14ac:dyDescent="0.3">
      <c r="F18" s="42"/>
      <c r="G18" s="42"/>
      <c r="H18" s="42"/>
      <c r="I18" s="42"/>
    </row>
    <row r="19" spans="1:9" ht="15.75" thickBot="1" x14ac:dyDescent="0.3">
      <c r="A19" s="2" t="s">
        <v>10</v>
      </c>
      <c r="E19" s="91"/>
      <c r="F19" s="54" t="s">
        <v>3</v>
      </c>
      <c r="G19" s="55" t="s">
        <v>5</v>
      </c>
      <c r="H19" s="56" t="s">
        <v>4</v>
      </c>
      <c r="I19" s="35" t="s">
        <v>1</v>
      </c>
    </row>
    <row r="20" spans="1:9" x14ac:dyDescent="0.25">
      <c r="E20" s="57" t="s">
        <v>6</v>
      </c>
      <c r="F20" s="63">
        <f>F15/$I15</f>
        <v>0.72580645161290325</v>
      </c>
      <c r="G20" s="64">
        <f t="shared" ref="G20:G21" si="3">G15/$I15</f>
        <v>0.24193548387096772</v>
      </c>
      <c r="H20" s="65">
        <f>H15/$I15</f>
        <v>3.2258064516129038E-2</v>
      </c>
      <c r="I20" s="58">
        <f>SUM(F20:H20)</f>
        <v>1</v>
      </c>
    </row>
    <row r="21" spans="1:9" ht="15.75" thickBot="1" x14ac:dyDescent="0.3">
      <c r="E21" s="59" t="s">
        <v>7</v>
      </c>
      <c r="F21" s="66">
        <f>F16/$I16</f>
        <v>0.13157894736842105</v>
      </c>
      <c r="G21" s="67">
        <f t="shared" si="3"/>
        <v>0.39473684210526316</v>
      </c>
      <c r="H21" s="68">
        <f>H16/$I16</f>
        <v>0.47368421052631582</v>
      </c>
      <c r="I21" s="61">
        <f>SUM(F21:H21)</f>
        <v>1</v>
      </c>
    </row>
    <row r="24" spans="1:9" ht="15.75" thickBot="1" x14ac:dyDescent="0.3">
      <c r="A24" s="1" t="s">
        <v>41</v>
      </c>
    </row>
    <row r="25" spans="1:9" x14ac:dyDescent="0.25">
      <c r="A25" s="8" t="s">
        <v>43</v>
      </c>
      <c r="B25" s="69"/>
      <c r="C25" s="69" t="s">
        <v>19</v>
      </c>
      <c r="D25" s="69"/>
      <c r="E25" s="70">
        <v>0</v>
      </c>
    </row>
    <row r="26" spans="1:9" x14ac:dyDescent="0.25">
      <c r="A26" s="10"/>
      <c r="B26" s="5"/>
      <c r="C26" s="5" t="s">
        <v>18</v>
      </c>
      <c r="D26" s="5" t="s">
        <v>3</v>
      </c>
      <c r="E26" s="71">
        <f>RS-Fr</f>
        <v>1550</v>
      </c>
    </row>
    <row r="27" spans="1:9" x14ac:dyDescent="0.25">
      <c r="A27" s="10"/>
      <c r="B27" s="5"/>
      <c r="C27" s="5"/>
      <c r="D27" s="5" t="s">
        <v>5</v>
      </c>
      <c r="E27" s="71">
        <f>RM-Fr</f>
        <v>150</v>
      </c>
    </row>
    <row r="28" spans="1:9" ht="15.75" thickBot="1" x14ac:dyDescent="0.3">
      <c r="A28" s="11"/>
      <c r="B28" s="72"/>
      <c r="C28" s="72"/>
      <c r="D28" s="72" t="s">
        <v>4</v>
      </c>
      <c r="E28" s="73">
        <f>RF-Fr</f>
        <v>-650</v>
      </c>
    </row>
    <row r="29" spans="1:9" x14ac:dyDescent="0.25">
      <c r="A29" s="5" t="s">
        <v>33</v>
      </c>
      <c r="B29" s="5"/>
      <c r="C29" s="5"/>
      <c r="D29" s="5"/>
      <c r="E29" s="74"/>
    </row>
    <row r="30" spans="1:9" x14ac:dyDescent="0.25">
      <c r="E30" s="42"/>
    </row>
    <row r="31" spans="1:9" ht="15.75" thickBot="1" x14ac:dyDescent="0.3">
      <c r="A31" s="1" t="s">
        <v>35</v>
      </c>
      <c r="E31" s="42"/>
    </row>
    <row r="32" spans="1:9" x14ac:dyDescent="0.25">
      <c r="A32" s="8" t="s">
        <v>16</v>
      </c>
      <c r="B32" s="69"/>
      <c r="C32" s="69" t="s">
        <v>19</v>
      </c>
      <c r="D32" s="69"/>
      <c r="E32" s="70">
        <v>0</v>
      </c>
    </row>
    <row r="33" spans="1:5" x14ac:dyDescent="0.25">
      <c r="A33" s="10"/>
      <c r="B33" s="5"/>
      <c r="C33" s="5" t="s">
        <v>18</v>
      </c>
      <c r="D33" s="5"/>
      <c r="E33" s="71">
        <f>F7*E26+G7*E27+H7*E28</f>
        <v>690</v>
      </c>
    </row>
    <row r="34" spans="1:5" x14ac:dyDescent="0.25">
      <c r="A34" s="10" t="s">
        <v>17</v>
      </c>
      <c r="B34" s="5" t="s">
        <v>6</v>
      </c>
      <c r="C34" s="5" t="s">
        <v>19</v>
      </c>
      <c r="D34" s="5"/>
      <c r="E34" s="71">
        <v>0</v>
      </c>
    </row>
    <row r="35" spans="1:5" x14ac:dyDescent="0.25">
      <c r="A35" s="10"/>
      <c r="B35" s="5"/>
      <c r="C35" s="5" t="s">
        <v>18</v>
      </c>
      <c r="D35" s="5"/>
      <c r="E35" s="71">
        <f>F20*E26+G20*E27+H20*E28</f>
        <v>1140.3225806451612</v>
      </c>
    </row>
    <row r="36" spans="1:5" x14ac:dyDescent="0.25">
      <c r="A36" s="10"/>
      <c r="B36" s="5" t="s">
        <v>7</v>
      </c>
      <c r="C36" s="5" t="s">
        <v>19</v>
      </c>
      <c r="D36" s="5"/>
      <c r="E36" s="71">
        <v>0</v>
      </c>
    </row>
    <row r="37" spans="1:5" ht="15.75" thickBot="1" x14ac:dyDescent="0.3">
      <c r="A37" s="11"/>
      <c r="B37" s="72"/>
      <c r="C37" s="72" t="s">
        <v>18</v>
      </c>
      <c r="D37" s="72"/>
      <c r="E37" s="73">
        <f>F21*E26+G21*E27+H21*E28</f>
        <v>-44.736842105263179</v>
      </c>
    </row>
    <row r="38" spans="1:5" x14ac:dyDescent="0.25">
      <c r="E38" s="75"/>
    </row>
    <row r="39" spans="1:5" ht="15.75" thickBot="1" x14ac:dyDescent="0.3">
      <c r="A39" s="2" t="s">
        <v>34</v>
      </c>
      <c r="E39" s="75"/>
    </row>
    <row r="40" spans="1:5" x14ac:dyDescent="0.25">
      <c r="A40" s="8" t="s">
        <v>16</v>
      </c>
      <c r="B40" s="69"/>
      <c r="C40" s="69"/>
      <c r="D40" s="69"/>
      <c r="E40" s="70">
        <f>MAX(E32:E33)</f>
        <v>690</v>
      </c>
    </row>
    <row r="41" spans="1:5" x14ac:dyDescent="0.25">
      <c r="A41" s="10" t="s">
        <v>17</v>
      </c>
      <c r="B41" s="5" t="s">
        <v>6</v>
      </c>
      <c r="C41" s="5"/>
      <c r="D41" s="5"/>
      <c r="E41" s="71">
        <f>MAX(E34:E35)</f>
        <v>1140.3225806451612</v>
      </c>
    </row>
    <row r="42" spans="1:5" ht="15.75" thickBot="1" x14ac:dyDescent="0.3">
      <c r="A42" s="11"/>
      <c r="B42" s="72" t="s">
        <v>7</v>
      </c>
      <c r="C42" s="72"/>
      <c r="D42" s="72"/>
      <c r="E42" s="73">
        <f>MAX(E36:E37)</f>
        <v>0</v>
      </c>
    </row>
    <row r="43" spans="1:5" x14ac:dyDescent="0.25">
      <c r="E43" s="42"/>
    </row>
    <row r="44" spans="1:5" x14ac:dyDescent="0.25">
      <c r="A44" s="1" t="s">
        <v>36</v>
      </c>
      <c r="E44" s="76">
        <f>I15*E41+I16*E42</f>
        <v>707</v>
      </c>
    </row>
    <row r="46" spans="1:5" x14ac:dyDescent="0.25">
      <c r="A46" s="83" t="s">
        <v>45</v>
      </c>
      <c r="E46" s="76">
        <f>E44-E40</f>
        <v>17</v>
      </c>
    </row>
  </sheetData>
  <mergeCells count="1"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20</v>
      </c>
    </row>
    <row r="4" spans="1:1" x14ac:dyDescent="0.25">
      <c r="A4">
        <v>39</v>
      </c>
    </row>
    <row r="5" spans="1:1" x14ac:dyDescent="0.25">
      <c r="A5">
        <v>999</v>
      </c>
    </row>
    <row r="6" spans="1:1" x14ac:dyDescent="0.25">
      <c r="A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/>
  </sheetViews>
  <sheetFormatPr baseColWidth="10" defaultRowHeight="15" x14ac:dyDescent="0.25"/>
  <sheetData>
    <row r="1" spans="1:19" x14ac:dyDescent="0.25">
      <c r="A1">
        <v>0</v>
      </c>
      <c r="B1">
        <v>0</v>
      </c>
      <c r="C1">
        <v>0</v>
      </c>
      <c r="D1">
        <v>1</v>
      </c>
      <c r="E1">
        <v>0</v>
      </c>
      <c r="F1">
        <v>2</v>
      </c>
      <c r="G1">
        <v>21</v>
      </c>
      <c r="H1">
        <v>1</v>
      </c>
      <c r="I1" t="s">
        <v>46</v>
      </c>
      <c r="J1">
        <f>MAX(E22)</f>
        <v>0</v>
      </c>
      <c r="K1">
        <v>0</v>
      </c>
      <c r="L1">
        <v>0</v>
      </c>
      <c r="M1">
        <f>IF(A22=E22,1)</f>
        <v>1</v>
      </c>
      <c r="N1">
        <v>1</v>
      </c>
      <c r="O1">
        <v>2</v>
      </c>
      <c r="P1">
        <v>2</v>
      </c>
      <c r="Q1">
        <v>0</v>
      </c>
      <c r="R1">
        <v>0</v>
      </c>
      <c r="S1">
        <v>0</v>
      </c>
    </row>
    <row r="2" spans="1:19" x14ac:dyDescent="0.25">
      <c r="A2">
        <v>2</v>
      </c>
      <c r="B2">
        <v>0</v>
      </c>
      <c r="C2">
        <v>0</v>
      </c>
      <c r="D2">
        <v>1</v>
      </c>
      <c r="E2">
        <v>1</v>
      </c>
      <c r="F2">
        <v>6</v>
      </c>
      <c r="G2">
        <v>21</v>
      </c>
      <c r="H2">
        <v>2</v>
      </c>
      <c r="I2" t="s">
        <v>47</v>
      </c>
      <c r="J2" t="e">
        <f>IF(ABS(1-SUM(I12,I28))&lt;= 0.0001, SUM(I14*I12,I30*I28), NA())</f>
        <v>#N/A</v>
      </c>
      <c r="K2">
        <v>0</v>
      </c>
      <c r="M2">
        <f>0</f>
        <v>0</v>
      </c>
      <c r="N2">
        <v>2</v>
      </c>
      <c r="O2">
        <v>3</v>
      </c>
      <c r="P2">
        <v>4</v>
      </c>
      <c r="Q2">
        <v>0</v>
      </c>
      <c r="R2">
        <v>0</v>
      </c>
      <c r="S2">
        <v>0</v>
      </c>
    </row>
    <row r="3" spans="1:19" x14ac:dyDescent="0.25">
      <c r="A3">
        <v>3</v>
      </c>
      <c r="B3">
        <v>2</v>
      </c>
      <c r="C3">
        <v>0</v>
      </c>
      <c r="D3">
        <v>1</v>
      </c>
      <c r="E3">
        <v>2</v>
      </c>
      <c r="F3">
        <v>10</v>
      </c>
      <c r="G3">
        <v>13</v>
      </c>
      <c r="H3">
        <v>1</v>
      </c>
      <c r="I3" t="s">
        <v>6</v>
      </c>
      <c r="J3">
        <f>MAX(M10,M18)</f>
        <v>0</v>
      </c>
      <c r="K3">
        <v>0</v>
      </c>
      <c r="L3" t="s">
        <v>52</v>
      </c>
      <c r="M3" t="b">
        <f>IF(I14=M10,1,IF(I14=M18, 2))</f>
        <v>0</v>
      </c>
      <c r="N3">
        <v>2</v>
      </c>
      <c r="O3">
        <v>5</v>
      </c>
      <c r="P3">
        <v>6</v>
      </c>
      <c r="Q3">
        <v>0</v>
      </c>
      <c r="R3">
        <v>0</v>
      </c>
      <c r="S3">
        <v>0</v>
      </c>
    </row>
    <row r="4" spans="1:19" x14ac:dyDescent="0.25">
      <c r="A4">
        <v>4</v>
      </c>
      <c r="B4">
        <v>2</v>
      </c>
      <c r="C4">
        <v>0</v>
      </c>
      <c r="D4">
        <v>2</v>
      </c>
      <c r="E4">
        <v>2</v>
      </c>
      <c r="F4">
        <v>10</v>
      </c>
      <c r="G4">
        <v>29</v>
      </c>
      <c r="H4">
        <v>1</v>
      </c>
      <c r="I4" t="s">
        <v>7</v>
      </c>
      <c r="J4">
        <f>MAX(M26,M34)</f>
        <v>0</v>
      </c>
      <c r="K4">
        <v>0</v>
      </c>
      <c r="L4" t="s">
        <v>53</v>
      </c>
      <c r="M4">
        <f>IF(I30=M26,1,IF(I30=M34, 2))</f>
        <v>1</v>
      </c>
      <c r="N4">
        <v>2</v>
      </c>
      <c r="O4">
        <v>10</v>
      </c>
      <c r="P4">
        <v>11</v>
      </c>
      <c r="Q4">
        <v>0</v>
      </c>
      <c r="R4">
        <v>0</v>
      </c>
      <c r="S4">
        <v>0</v>
      </c>
    </row>
    <row r="5" spans="1:19" x14ac:dyDescent="0.25">
      <c r="A5">
        <v>5</v>
      </c>
      <c r="B5">
        <v>3</v>
      </c>
      <c r="C5">
        <v>0</v>
      </c>
      <c r="D5">
        <v>1</v>
      </c>
      <c r="E5">
        <v>3</v>
      </c>
      <c r="F5">
        <v>14</v>
      </c>
      <c r="G5">
        <v>9</v>
      </c>
      <c r="H5">
        <v>2</v>
      </c>
      <c r="I5" t="s">
        <v>19</v>
      </c>
      <c r="J5" t="e">
        <f>IF(ABS(1-SUM(Q8))&lt;= 0.0001, SUM(Q10*Q8), NA())</f>
        <v>#N/A</v>
      </c>
      <c r="K5">
        <v>0</v>
      </c>
      <c r="M5">
        <f>0</f>
        <v>0</v>
      </c>
      <c r="N5">
        <v>1</v>
      </c>
      <c r="O5">
        <v>12</v>
      </c>
      <c r="P5">
        <v>0</v>
      </c>
      <c r="Q5">
        <v>0</v>
      </c>
      <c r="R5">
        <v>0</v>
      </c>
      <c r="S5">
        <v>0</v>
      </c>
    </row>
    <row r="6" spans="1:19" x14ac:dyDescent="0.25">
      <c r="A6">
        <v>6</v>
      </c>
      <c r="B6">
        <v>3</v>
      </c>
      <c r="C6">
        <v>0</v>
      </c>
      <c r="D6">
        <v>2</v>
      </c>
      <c r="E6">
        <v>3</v>
      </c>
      <c r="F6">
        <v>14</v>
      </c>
      <c r="G6">
        <v>17</v>
      </c>
      <c r="H6">
        <v>2</v>
      </c>
      <c r="I6" t="s">
        <v>18</v>
      </c>
      <c r="J6" t="e">
        <f>IF(ABS(1-SUM(Q12,Q16,Q20))&lt;= 0.0001, SUM(Q14*Q12,Q18*Q16,Q22*Q20), NA())</f>
        <v>#N/A</v>
      </c>
      <c r="K6">
        <v>0</v>
      </c>
      <c r="M6">
        <f>0</f>
        <v>0</v>
      </c>
      <c r="N6">
        <v>3</v>
      </c>
      <c r="O6">
        <v>7</v>
      </c>
      <c r="P6">
        <v>8</v>
      </c>
      <c r="Q6">
        <v>9</v>
      </c>
      <c r="R6">
        <v>0</v>
      </c>
      <c r="S6">
        <v>0</v>
      </c>
    </row>
    <row r="7" spans="1:19" x14ac:dyDescent="0.25">
      <c r="A7">
        <v>7</v>
      </c>
      <c r="B7">
        <v>6</v>
      </c>
      <c r="C7">
        <v>0</v>
      </c>
      <c r="D7">
        <v>1</v>
      </c>
      <c r="E7">
        <v>4</v>
      </c>
      <c r="F7">
        <v>18</v>
      </c>
      <c r="G7">
        <v>13</v>
      </c>
      <c r="H7">
        <v>0</v>
      </c>
      <c r="I7" t="s">
        <v>3</v>
      </c>
      <c r="J7">
        <f>S13</f>
        <v>0</v>
      </c>
      <c r="K7">
        <v>0</v>
      </c>
      <c r="L7" t="s">
        <v>54</v>
      </c>
      <c r="M7">
        <f>0</f>
        <v>0</v>
      </c>
      <c r="N7">
        <v>0</v>
      </c>
    </row>
    <row r="8" spans="1:19" x14ac:dyDescent="0.25">
      <c r="A8">
        <v>8</v>
      </c>
      <c r="B8">
        <v>6</v>
      </c>
      <c r="C8">
        <v>0</v>
      </c>
      <c r="D8">
        <v>2</v>
      </c>
      <c r="E8">
        <v>4</v>
      </c>
      <c r="F8">
        <v>18</v>
      </c>
      <c r="G8">
        <v>17</v>
      </c>
      <c r="H8">
        <v>0</v>
      </c>
      <c r="I8" t="s">
        <v>5</v>
      </c>
      <c r="J8">
        <f>S17</f>
        <v>0</v>
      </c>
      <c r="K8">
        <v>0</v>
      </c>
      <c r="L8" t="s">
        <v>55</v>
      </c>
      <c r="M8">
        <f>0</f>
        <v>0</v>
      </c>
      <c r="N8">
        <v>0</v>
      </c>
    </row>
    <row r="9" spans="1:19" x14ac:dyDescent="0.25">
      <c r="A9">
        <v>9</v>
      </c>
      <c r="B9">
        <v>6</v>
      </c>
      <c r="C9">
        <v>0</v>
      </c>
      <c r="D9">
        <v>3</v>
      </c>
      <c r="E9">
        <v>4</v>
      </c>
      <c r="F9">
        <v>18</v>
      </c>
      <c r="G9">
        <v>21</v>
      </c>
      <c r="H9">
        <v>0</v>
      </c>
      <c r="I9" t="s">
        <v>4</v>
      </c>
      <c r="J9">
        <f>S21</f>
        <v>0</v>
      </c>
      <c r="K9">
        <v>0</v>
      </c>
      <c r="L9" t="s">
        <v>56</v>
      </c>
      <c r="M9">
        <f>0</f>
        <v>0</v>
      </c>
      <c r="N9">
        <v>0</v>
      </c>
    </row>
    <row r="10" spans="1:19" x14ac:dyDescent="0.25">
      <c r="A10">
        <v>10</v>
      </c>
      <c r="B10">
        <v>4</v>
      </c>
      <c r="C10">
        <v>0</v>
      </c>
      <c r="D10">
        <v>1</v>
      </c>
      <c r="E10">
        <v>3</v>
      </c>
      <c r="F10">
        <v>14</v>
      </c>
      <c r="G10">
        <v>25</v>
      </c>
      <c r="H10">
        <v>2</v>
      </c>
      <c r="I10" t="s">
        <v>19</v>
      </c>
      <c r="J10" t="e">
        <f>IF(ABS(1-SUM(Q24))&lt;= 0.0001, SUM(Q26*Q24), NA())</f>
        <v>#N/A</v>
      </c>
      <c r="K10">
        <v>0</v>
      </c>
      <c r="M10">
        <f>0</f>
        <v>0</v>
      </c>
      <c r="N10">
        <v>1</v>
      </c>
      <c r="O10">
        <v>13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>
        <v>11</v>
      </c>
      <c r="B11">
        <v>4</v>
      </c>
      <c r="C11">
        <v>0</v>
      </c>
      <c r="D11">
        <v>2</v>
      </c>
      <c r="E11">
        <v>3</v>
      </c>
      <c r="F11">
        <v>14</v>
      </c>
      <c r="G11">
        <v>33</v>
      </c>
      <c r="H11">
        <v>2</v>
      </c>
      <c r="I11" t="s">
        <v>18</v>
      </c>
      <c r="J11" t="e">
        <f>IF(ABS(1-SUM(Q28,Q32,Q36))&lt;= 0.0001, SUM(Q30*Q28,Q34*Q32,Q38*Q36), NA())</f>
        <v>#N/A</v>
      </c>
      <c r="K11">
        <v>0</v>
      </c>
      <c r="L11">
        <v>0</v>
      </c>
      <c r="M11">
        <f>0</f>
        <v>0</v>
      </c>
      <c r="N11">
        <v>3</v>
      </c>
      <c r="O11">
        <v>14</v>
      </c>
      <c r="P11">
        <v>15</v>
      </c>
      <c r="Q11">
        <v>16</v>
      </c>
      <c r="R11">
        <v>0</v>
      </c>
      <c r="S11">
        <v>0</v>
      </c>
    </row>
    <row r="12" spans="1:19" x14ac:dyDescent="0.25">
      <c r="A12">
        <v>12</v>
      </c>
      <c r="B12">
        <v>5</v>
      </c>
      <c r="C12">
        <v>0</v>
      </c>
      <c r="D12">
        <v>1</v>
      </c>
      <c r="E12">
        <v>4</v>
      </c>
      <c r="F12">
        <v>18</v>
      </c>
      <c r="G12">
        <v>9</v>
      </c>
      <c r="H12">
        <v>0</v>
      </c>
      <c r="I12" t="s">
        <v>48</v>
      </c>
      <c r="J12">
        <f>S9</f>
        <v>0</v>
      </c>
      <c r="K12">
        <v>0</v>
      </c>
      <c r="L12">
        <v>1</v>
      </c>
      <c r="M12">
        <f>0</f>
        <v>0</v>
      </c>
      <c r="N12">
        <v>0</v>
      </c>
    </row>
    <row r="13" spans="1:19" x14ac:dyDescent="0.25">
      <c r="A13">
        <v>13</v>
      </c>
      <c r="B13">
        <v>10</v>
      </c>
      <c r="C13">
        <v>0</v>
      </c>
      <c r="D13">
        <v>1</v>
      </c>
      <c r="E13">
        <v>4</v>
      </c>
      <c r="F13">
        <v>18</v>
      </c>
      <c r="G13">
        <v>25</v>
      </c>
      <c r="H13">
        <v>0</v>
      </c>
      <c r="I13" t="s">
        <v>48</v>
      </c>
      <c r="J13">
        <f>S25</f>
        <v>0</v>
      </c>
      <c r="K13">
        <v>0</v>
      </c>
      <c r="L13">
        <v>1</v>
      </c>
      <c r="M13">
        <f>0</f>
        <v>0</v>
      </c>
      <c r="N13">
        <v>0</v>
      </c>
    </row>
    <row r="14" spans="1:19" x14ac:dyDescent="0.25">
      <c r="A14">
        <v>14</v>
      </c>
      <c r="B14">
        <v>11</v>
      </c>
      <c r="C14">
        <v>0</v>
      </c>
      <c r="D14">
        <v>1</v>
      </c>
      <c r="E14">
        <v>4</v>
      </c>
      <c r="F14">
        <v>18</v>
      </c>
      <c r="G14">
        <v>29</v>
      </c>
      <c r="H14">
        <v>0</v>
      </c>
      <c r="I14" t="s">
        <v>49</v>
      </c>
      <c r="J14">
        <f>S29</f>
        <v>0</v>
      </c>
      <c r="K14">
        <v>0</v>
      </c>
      <c r="L14">
        <v>0.33333333333333331</v>
      </c>
      <c r="M14">
        <f>0</f>
        <v>0</v>
      </c>
      <c r="N14">
        <v>0</v>
      </c>
    </row>
    <row r="15" spans="1:19" x14ac:dyDescent="0.25">
      <c r="A15">
        <v>15</v>
      </c>
      <c r="B15">
        <v>11</v>
      </c>
      <c r="C15">
        <v>0</v>
      </c>
      <c r="D15">
        <v>2</v>
      </c>
      <c r="E15">
        <v>4</v>
      </c>
      <c r="F15">
        <v>18</v>
      </c>
      <c r="G15">
        <v>33</v>
      </c>
      <c r="H15">
        <v>0</v>
      </c>
      <c r="I15" t="s">
        <v>50</v>
      </c>
      <c r="J15">
        <f>S33</f>
        <v>0</v>
      </c>
      <c r="K15">
        <v>0</v>
      </c>
      <c r="L15">
        <v>0.33333333333333331</v>
      </c>
      <c r="M15">
        <f>0</f>
        <v>0</v>
      </c>
      <c r="N15">
        <v>0</v>
      </c>
    </row>
    <row r="16" spans="1:19" x14ac:dyDescent="0.25">
      <c r="A16">
        <v>16</v>
      </c>
      <c r="B16">
        <v>11</v>
      </c>
      <c r="C16">
        <v>0</v>
      </c>
      <c r="D16">
        <v>3</v>
      </c>
      <c r="E16">
        <v>4</v>
      </c>
      <c r="F16">
        <v>18</v>
      </c>
      <c r="G16">
        <v>37</v>
      </c>
      <c r="H16">
        <v>0</v>
      </c>
      <c r="I16" t="s">
        <v>51</v>
      </c>
      <c r="J16">
        <f>S37</f>
        <v>0</v>
      </c>
      <c r="K16">
        <v>0</v>
      </c>
      <c r="L16">
        <v>0.33333333333333331</v>
      </c>
      <c r="M16">
        <f>0</f>
        <v>0</v>
      </c>
      <c r="N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selection activeCell="U53" sqref="U53"/>
    </sheetView>
  </sheetViews>
  <sheetFormatPr baseColWidth="10" defaultRowHeight="15" x14ac:dyDescent="0.25"/>
  <cols>
    <col min="1" max="1" width="9.28515625" customWidth="1"/>
    <col min="2" max="2" width="2.7109375" customWidth="1"/>
    <col min="3" max="3" width="3.7109375" customWidth="1"/>
    <col min="4" max="4" width="12.7109375" customWidth="1"/>
    <col min="5" max="5" width="9.28515625" customWidth="1"/>
    <col min="6" max="6" width="2.7109375" customWidth="1"/>
    <col min="7" max="7" width="3.7109375" customWidth="1"/>
    <col min="8" max="8" width="12.7109375" customWidth="1"/>
    <col min="9" max="9" width="9.28515625" customWidth="1"/>
    <col min="10" max="10" width="2.7109375" customWidth="1"/>
    <col min="11" max="11" width="3.7109375" customWidth="1"/>
    <col min="12" max="12" width="12.7109375" customWidth="1"/>
    <col min="13" max="13" width="9.28515625" customWidth="1"/>
    <col min="14" max="14" width="2.7109375" customWidth="1"/>
    <col min="15" max="15" width="3.7109375" customWidth="1"/>
    <col min="16" max="16" width="12.7109375" customWidth="1"/>
    <col min="17" max="17" width="9.28515625" customWidth="1"/>
    <col min="18" max="18" width="2.7109375" customWidth="1"/>
  </cols>
  <sheetData>
    <row r="1" spans="1:27" ht="15.75" x14ac:dyDescent="0.25">
      <c r="A1" s="88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4" t="s">
        <v>19</v>
      </c>
      <c r="M4" s="84"/>
      <c r="N4" s="86"/>
      <c r="O4" s="86"/>
      <c r="P4" s="84" t="s">
        <v>48</v>
      </c>
      <c r="Q4" s="93">
        <v>1</v>
      </c>
      <c r="R4" s="86"/>
      <c r="S4" s="86"/>
      <c r="T4" s="86"/>
      <c r="U4" s="86"/>
      <c r="V4" s="84"/>
      <c r="W4" s="84"/>
      <c r="X4" s="84"/>
      <c r="Y4" s="84"/>
      <c r="Z4" s="84"/>
    </row>
    <row r="5" spans="1:27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>
        <f>SUM(P6,L6,H10,D10)</f>
        <v>0</v>
      </c>
      <c r="T5" s="86"/>
      <c r="U5" s="86"/>
      <c r="V5" s="84"/>
      <c r="W5" s="84"/>
      <c r="X5" s="84"/>
      <c r="Y5" s="84"/>
      <c r="Z5" s="84"/>
    </row>
    <row r="6" spans="1:27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5">
        <v>0</v>
      </c>
      <c r="M6" s="94">
        <f>IF(ABS(1-SUM(Q4))&lt;= 0.0001, SUM(Q6*Q4), NA())</f>
        <v>0</v>
      </c>
      <c r="N6" s="94"/>
      <c r="O6" s="94"/>
      <c r="P6" s="93">
        <v>0</v>
      </c>
      <c r="Q6" s="86">
        <f>S5</f>
        <v>0</v>
      </c>
      <c r="R6" s="86"/>
      <c r="S6" s="86"/>
      <c r="T6" s="86"/>
      <c r="U6" s="86"/>
      <c r="V6" s="84"/>
      <c r="W6" s="84"/>
      <c r="X6" s="84"/>
      <c r="Y6" s="84"/>
      <c r="Z6" s="84"/>
    </row>
    <row r="7" spans="1:27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4"/>
      <c r="W7" s="84"/>
      <c r="X7" s="84"/>
      <c r="Y7" s="84"/>
      <c r="Z7" s="84"/>
    </row>
    <row r="8" spans="1:27" x14ac:dyDescent="0.25">
      <c r="A8" s="86"/>
      <c r="B8" s="86"/>
      <c r="C8" s="86"/>
      <c r="D8" s="84" t="s">
        <v>16</v>
      </c>
      <c r="E8" s="84"/>
      <c r="F8" s="86"/>
      <c r="G8" s="86"/>
      <c r="H8" s="84" t="s">
        <v>48</v>
      </c>
      <c r="I8" s="93">
        <v>1</v>
      </c>
      <c r="J8" s="86"/>
      <c r="K8" s="86"/>
      <c r="L8" s="86"/>
      <c r="M8" s="86"/>
      <c r="N8" s="86"/>
      <c r="O8" s="86"/>
      <c r="P8" s="84" t="s">
        <v>3</v>
      </c>
      <c r="Q8" s="87">
        <v>0.5</v>
      </c>
      <c r="R8" s="86"/>
      <c r="S8" s="86"/>
      <c r="T8" s="86"/>
      <c r="U8" s="86"/>
      <c r="V8" s="84"/>
      <c r="W8" s="84"/>
      <c r="X8" s="84"/>
      <c r="Y8" s="84"/>
      <c r="Z8" s="84"/>
    </row>
    <row r="9" spans="1:27" x14ac:dyDescent="0.25">
      <c r="A9" s="86"/>
      <c r="B9" s="86"/>
      <c r="C9" s="86"/>
      <c r="D9" s="86"/>
      <c r="E9" s="86"/>
      <c r="F9" s="86"/>
      <c r="G9" s="86"/>
      <c r="H9" s="86"/>
      <c r="I9" s="86"/>
      <c r="J9" s="86">
        <f>IF(I10=M6,1,IF(I10=M14, 2))</f>
        <v>2</v>
      </c>
      <c r="K9" s="86"/>
      <c r="L9" s="86"/>
      <c r="M9" s="86"/>
      <c r="N9" s="86"/>
      <c r="O9" s="86"/>
      <c r="P9" s="86"/>
      <c r="Q9" s="86"/>
      <c r="R9" s="86"/>
      <c r="S9" s="86">
        <f>SUM(P10,L14,H10,D10)</f>
        <v>1550</v>
      </c>
      <c r="T9" s="86"/>
      <c r="U9" s="86"/>
      <c r="V9" s="84"/>
      <c r="W9" s="84"/>
      <c r="X9" s="84"/>
      <c r="Y9" s="84"/>
      <c r="Z9" s="84"/>
    </row>
    <row r="10" spans="1:27" x14ac:dyDescent="0.25">
      <c r="A10" s="86"/>
      <c r="B10" s="86"/>
      <c r="C10" s="86"/>
      <c r="D10" s="85">
        <v>0</v>
      </c>
      <c r="E10" s="94">
        <f>IF(ABS(1-SUM(I8))&lt;= 0.0001, SUM(I10*I8), NA())</f>
        <v>690</v>
      </c>
      <c r="F10" s="94"/>
      <c r="G10" s="94"/>
      <c r="H10" s="93">
        <v>0</v>
      </c>
      <c r="I10" s="86">
        <f>MAX(M6,M14)</f>
        <v>690</v>
      </c>
      <c r="J10" s="86"/>
      <c r="K10" s="86"/>
      <c r="L10" s="86"/>
      <c r="M10" s="86"/>
      <c r="N10" s="86"/>
      <c r="O10" s="86"/>
      <c r="P10" s="85">
        <v>2400</v>
      </c>
      <c r="Q10" s="86">
        <f>S9</f>
        <v>1550</v>
      </c>
      <c r="R10" s="86"/>
      <c r="S10" s="86"/>
      <c r="T10" s="86"/>
      <c r="U10" s="86"/>
      <c r="V10" s="84"/>
      <c r="W10" s="84"/>
      <c r="X10" s="84"/>
      <c r="Y10" s="84"/>
      <c r="Z10" s="84"/>
    </row>
    <row r="11" spans="1:27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4"/>
      <c r="W11" s="84"/>
      <c r="X11" s="84"/>
      <c r="Y11" s="84"/>
      <c r="Z11" s="84"/>
    </row>
    <row r="12" spans="1:27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4" t="s">
        <v>18</v>
      </c>
      <c r="M12" s="84"/>
      <c r="N12" s="86"/>
      <c r="O12" s="86"/>
      <c r="P12" s="84" t="s">
        <v>5</v>
      </c>
      <c r="Q12" s="87">
        <v>0.3</v>
      </c>
      <c r="R12" s="86"/>
      <c r="S12" s="86"/>
      <c r="T12" s="86"/>
      <c r="U12" s="86"/>
      <c r="V12" s="84"/>
      <c r="W12" s="84"/>
      <c r="X12" s="84"/>
      <c r="Y12" s="84"/>
      <c r="Z12" s="84"/>
    </row>
    <row r="13" spans="1:27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>
        <f>SUM(P14,L14,H10,D10)</f>
        <v>150</v>
      </c>
      <c r="T13" s="86"/>
      <c r="U13" s="86"/>
      <c r="V13" s="84"/>
      <c r="W13" s="84"/>
      <c r="X13" s="84"/>
      <c r="Y13" s="84"/>
      <c r="Z13" s="84"/>
    </row>
    <row r="14" spans="1:27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5">
        <v>-850</v>
      </c>
      <c r="M14" s="86">
        <f>IF(ABS(1-SUM(Q8,Q12,Q16))&lt;= 0.0001, SUM(Q10*Q8,Q14*Q12,Q18*Q16), NA())</f>
        <v>690</v>
      </c>
      <c r="N14" s="86"/>
      <c r="O14" s="86"/>
      <c r="P14" s="85">
        <v>1000</v>
      </c>
      <c r="Q14" s="86">
        <f>S13</f>
        <v>150</v>
      </c>
      <c r="R14" s="86"/>
      <c r="S14" s="86"/>
      <c r="T14" s="86"/>
      <c r="U14" s="86"/>
      <c r="V14" s="84"/>
      <c r="W14" s="84"/>
      <c r="X14" s="84"/>
      <c r="Y14" s="84"/>
      <c r="Z14" s="84"/>
    </row>
    <row r="15" spans="1:2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4"/>
      <c r="W15" s="84"/>
      <c r="X15" s="84"/>
      <c r="Y15" s="84"/>
      <c r="Z15" s="84"/>
    </row>
    <row r="16" spans="1:2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4" t="s">
        <v>4</v>
      </c>
      <c r="Q16" s="87">
        <v>0.2</v>
      </c>
      <c r="R16" s="86"/>
      <c r="S16" s="86"/>
      <c r="T16" s="86"/>
      <c r="U16" s="86"/>
      <c r="V16" s="84"/>
      <c r="W16" s="84"/>
      <c r="X16" s="84"/>
      <c r="Y16" s="84"/>
      <c r="Z16" s="84"/>
    </row>
    <row r="17" spans="1:26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>
        <f>SUM(P18,L14,H10,D10)</f>
        <v>-650</v>
      </c>
      <c r="T17" s="86"/>
      <c r="U17" s="86"/>
      <c r="V17" s="84"/>
      <c r="W17" s="84"/>
      <c r="X17" s="84"/>
      <c r="Y17" s="84"/>
      <c r="Z17" s="84"/>
    </row>
    <row r="18" spans="1:26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5">
        <v>200</v>
      </c>
      <c r="Q18" s="86">
        <f>S17</f>
        <v>-650</v>
      </c>
      <c r="R18" s="86"/>
      <c r="S18" s="86"/>
      <c r="T18" s="86"/>
      <c r="U18" s="86"/>
      <c r="V18" s="84"/>
      <c r="W18" s="84"/>
      <c r="X18" s="84"/>
      <c r="Y18" s="84"/>
      <c r="Z18" s="84"/>
    </row>
    <row r="19" spans="1:26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4"/>
      <c r="W19" s="84"/>
      <c r="X19" s="84"/>
      <c r="Y19" s="84"/>
      <c r="Z19" s="84"/>
    </row>
    <row r="20" spans="1:26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4" t="s">
        <v>19</v>
      </c>
      <c r="M20" s="84"/>
      <c r="N20" s="86"/>
      <c r="O20" s="86"/>
      <c r="P20" s="84" t="s">
        <v>48</v>
      </c>
      <c r="Q20" s="93">
        <v>1</v>
      </c>
      <c r="R20" s="86"/>
      <c r="S20" s="86"/>
      <c r="T20" s="86"/>
      <c r="U20" s="86"/>
      <c r="V20" s="84"/>
      <c r="W20" s="84"/>
      <c r="X20" s="84"/>
      <c r="Y20" s="84"/>
      <c r="Z20" s="84"/>
    </row>
    <row r="21" spans="1:26" x14ac:dyDescent="0.25">
      <c r="A21" s="86"/>
      <c r="B21" s="86">
        <f>IF(A22=E10,1,IF(A22=E34, 2))</f>
        <v>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>
        <f>SUM(P22,L22,H26,D34)</f>
        <v>0</v>
      </c>
      <c r="T21" s="86"/>
      <c r="U21" s="86"/>
      <c r="V21" s="84"/>
      <c r="W21" s="84"/>
      <c r="X21" s="84"/>
      <c r="Y21" s="84"/>
      <c r="Z21" s="84"/>
    </row>
    <row r="22" spans="1:26" x14ac:dyDescent="0.25">
      <c r="A22" s="86">
        <f>MAX(E10,E34)</f>
        <v>707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5">
        <v>0</v>
      </c>
      <c r="M22" s="94">
        <f>IF(ABS(1-SUM(Q20))&lt;= 0.0001, SUM(Q22*Q20), NA())</f>
        <v>0</v>
      </c>
      <c r="N22" s="94"/>
      <c r="O22" s="94"/>
      <c r="P22" s="93">
        <v>0</v>
      </c>
      <c r="Q22" s="86">
        <f>S21</f>
        <v>0</v>
      </c>
      <c r="R22" s="86"/>
      <c r="S22" s="86"/>
      <c r="T22" s="86"/>
      <c r="U22" s="86"/>
      <c r="V22" s="84"/>
      <c r="W22" s="84"/>
      <c r="X22" s="84"/>
      <c r="Y22" s="84"/>
      <c r="Z22" s="84"/>
    </row>
    <row r="23" spans="1:26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4"/>
      <c r="W23" s="84"/>
      <c r="X23" s="84"/>
      <c r="Y23" s="84"/>
      <c r="Z23" s="84"/>
    </row>
    <row r="24" spans="1:26" x14ac:dyDescent="0.25">
      <c r="A24" s="86"/>
      <c r="B24" s="86"/>
      <c r="C24" s="86"/>
      <c r="D24" s="86"/>
      <c r="E24" s="86"/>
      <c r="F24" s="86"/>
      <c r="G24" s="86"/>
      <c r="H24" s="84" t="s">
        <v>6</v>
      </c>
      <c r="I24" s="87">
        <v>0.62</v>
      </c>
      <c r="J24" s="86"/>
      <c r="K24" s="86"/>
      <c r="L24" s="86"/>
      <c r="M24" s="86"/>
      <c r="N24" s="86"/>
      <c r="O24" s="86"/>
      <c r="P24" s="84" t="s">
        <v>3</v>
      </c>
      <c r="Q24" s="92">
        <f>'Qb-Calculs'!F20</f>
        <v>0.72580645161290325</v>
      </c>
      <c r="R24" s="86"/>
      <c r="S24" s="86"/>
      <c r="T24" s="86"/>
      <c r="U24" s="86"/>
      <c r="V24" s="84"/>
      <c r="W24" s="84"/>
      <c r="X24" s="84"/>
      <c r="Y24" s="84"/>
      <c r="Z24" s="84"/>
    </row>
    <row r="25" spans="1:26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>
        <f>IF(I26=M22,1,IF(I26=M30, 2))</f>
        <v>2</v>
      </c>
      <c r="K25" s="86"/>
      <c r="L25" s="86"/>
      <c r="M25" s="86"/>
      <c r="N25" s="86"/>
      <c r="O25" s="86"/>
      <c r="P25" s="86"/>
      <c r="Q25" s="86"/>
      <c r="R25" s="86"/>
      <c r="S25" s="86">
        <f>SUM(P26,L30,H26,D34)</f>
        <v>1550</v>
      </c>
      <c r="T25" s="86"/>
      <c r="U25" s="86"/>
      <c r="V25" s="84"/>
      <c r="W25" s="84"/>
      <c r="X25" s="84"/>
      <c r="Y25" s="84"/>
      <c r="Z25" s="84"/>
    </row>
    <row r="26" spans="1:26" x14ac:dyDescent="0.25">
      <c r="A26" s="86"/>
      <c r="B26" s="86"/>
      <c r="C26" s="86"/>
      <c r="D26" s="86"/>
      <c r="E26" s="86"/>
      <c r="F26" s="86"/>
      <c r="G26" s="86"/>
      <c r="H26" s="85">
        <v>0</v>
      </c>
      <c r="I26" s="89">
        <f>MAX(M22,M30)</f>
        <v>1140.3225806451612</v>
      </c>
      <c r="J26" s="86"/>
      <c r="K26" s="86"/>
      <c r="L26" s="86"/>
      <c r="M26" s="86"/>
      <c r="N26" s="86"/>
      <c r="O26" s="86"/>
      <c r="P26" s="85">
        <v>2400</v>
      </c>
      <c r="Q26" s="86">
        <f>S25</f>
        <v>1550</v>
      </c>
      <c r="R26" s="86"/>
      <c r="S26" s="86"/>
      <c r="T26" s="86"/>
      <c r="U26" s="86"/>
      <c r="V26" s="84"/>
      <c r="W26" s="84"/>
      <c r="X26" s="84"/>
      <c r="Y26" s="84"/>
      <c r="Z26" s="84"/>
    </row>
    <row r="27" spans="1:26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4"/>
      <c r="W27" s="84"/>
      <c r="X27" s="84"/>
      <c r="Y27" s="84"/>
      <c r="Z27" s="84"/>
    </row>
    <row r="28" spans="1:26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4" t="s">
        <v>18</v>
      </c>
      <c r="M28" s="84"/>
      <c r="N28" s="86"/>
      <c r="O28" s="86"/>
      <c r="P28" s="84" t="s">
        <v>5</v>
      </c>
      <c r="Q28" s="92">
        <f>'Qb-Calculs'!G20</f>
        <v>0.24193548387096772</v>
      </c>
      <c r="R28" s="86"/>
      <c r="S28" s="86"/>
      <c r="T28" s="86"/>
      <c r="U28" s="86"/>
      <c r="V28" s="84"/>
      <c r="W28" s="84"/>
      <c r="X28" s="84"/>
      <c r="Y28" s="84"/>
      <c r="Z28" s="84"/>
    </row>
    <row r="29" spans="1:26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>
        <f>SUM(P30,L30,H26,D34)</f>
        <v>150</v>
      </c>
      <c r="T29" s="86"/>
      <c r="U29" s="86"/>
      <c r="V29" s="84"/>
      <c r="W29" s="84"/>
      <c r="X29" s="84"/>
      <c r="Y29" s="84"/>
      <c r="Z29" s="84"/>
    </row>
    <row r="30" spans="1:26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5">
        <v>-850</v>
      </c>
      <c r="M30" s="89">
        <f>IF(ABS(1-SUM(Q24,Q28,Q32))&lt;= 0.0001, SUM(Q26*Q24,Q30*Q28,Q34*Q32), NA())</f>
        <v>1140.3225806451612</v>
      </c>
      <c r="N30" s="86"/>
      <c r="O30" s="86"/>
      <c r="P30" s="85">
        <v>1000</v>
      </c>
      <c r="Q30" s="86">
        <f>S29</f>
        <v>150</v>
      </c>
      <c r="R30" s="86"/>
      <c r="S30" s="86"/>
      <c r="T30" s="86"/>
      <c r="U30" s="86"/>
      <c r="V30" s="84"/>
      <c r="W30" s="84"/>
      <c r="X30" s="84"/>
      <c r="Y30" s="84"/>
      <c r="Z30" s="84"/>
    </row>
    <row r="31" spans="1:26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4"/>
      <c r="W31" s="84"/>
      <c r="X31" s="84"/>
      <c r="Y31" s="84"/>
      <c r="Z31" s="84"/>
    </row>
    <row r="32" spans="1:26" x14ac:dyDescent="0.25">
      <c r="A32" s="86"/>
      <c r="B32" s="86"/>
      <c r="C32" s="86"/>
      <c r="D32" s="84" t="s">
        <v>17</v>
      </c>
      <c r="E32" s="84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4" t="s">
        <v>4</v>
      </c>
      <c r="Q32" s="92">
        <f>'Qb-Calculs'!H20</f>
        <v>3.2258064516129038E-2</v>
      </c>
      <c r="R32" s="86"/>
      <c r="S32" s="86"/>
      <c r="T32" s="86"/>
      <c r="U32" s="86"/>
      <c r="V32" s="84"/>
      <c r="W32" s="84"/>
      <c r="X32" s="84"/>
      <c r="Y32" s="84"/>
      <c r="Z32" s="84"/>
    </row>
    <row r="33" spans="1:2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>
        <f>SUM(P34,L30,H26,D34)</f>
        <v>-650</v>
      </c>
      <c r="T33" s="86"/>
      <c r="U33" s="86"/>
      <c r="V33" s="84"/>
      <c r="W33" s="84"/>
      <c r="X33" s="84"/>
      <c r="Y33" s="84"/>
      <c r="Z33" s="84"/>
    </row>
    <row r="34" spans="1:26" x14ac:dyDescent="0.25">
      <c r="A34" s="86"/>
      <c r="B34" s="86"/>
      <c r="C34" s="86"/>
      <c r="D34" s="85">
        <v>0</v>
      </c>
      <c r="E34" s="90">
        <f>IF(ABS(1-SUM(I24,I40))&lt;= 0.0001, SUM(I26*I24,I42*I40), NA())</f>
        <v>707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5">
        <v>200</v>
      </c>
      <c r="Q34" s="86">
        <f>S33</f>
        <v>-650</v>
      </c>
      <c r="R34" s="86"/>
      <c r="S34" s="86"/>
      <c r="T34" s="86"/>
      <c r="U34" s="86"/>
      <c r="V34" s="84"/>
      <c r="W34" s="84"/>
      <c r="X34" s="84"/>
      <c r="Y34" s="84"/>
      <c r="Z34" s="84"/>
    </row>
    <row r="35" spans="1:26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4"/>
      <c r="W35" s="84"/>
      <c r="X35" s="84"/>
      <c r="Y35" s="84"/>
      <c r="Z35" s="84"/>
    </row>
    <row r="36" spans="1:26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4" t="s">
        <v>19</v>
      </c>
      <c r="M36" s="84"/>
      <c r="N36" s="86"/>
      <c r="O36" s="86"/>
      <c r="P36" s="84" t="s">
        <v>48</v>
      </c>
      <c r="Q36" s="93">
        <v>1</v>
      </c>
      <c r="R36" s="86"/>
      <c r="S36" s="86"/>
      <c r="T36" s="86"/>
      <c r="U36" s="86"/>
      <c r="V36" s="84"/>
      <c r="W36" s="84"/>
      <c r="X36" s="84"/>
      <c r="Y36" s="84"/>
      <c r="Z36" s="84"/>
    </row>
    <row r="37" spans="1:26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>
        <f>SUM(P38,L38,H42,D34)</f>
        <v>0</v>
      </c>
      <c r="T37" s="86"/>
      <c r="U37" s="86"/>
      <c r="V37" s="84"/>
      <c r="W37" s="84"/>
      <c r="X37" s="84"/>
      <c r="Y37" s="84"/>
      <c r="Z37" s="84"/>
    </row>
    <row r="38" spans="1:26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5">
        <v>0</v>
      </c>
      <c r="M38" s="94">
        <f>IF(ABS(1-SUM(Q36))&lt;= 0.0001, SUM(Q38*Q36), NA())</f>
        <v>0</v>
      </c>
      <c r="N38" s="94"/>
      <c r="O38" s="94"/>
      <c r="P38" s="93">
        <v>0</v>
      </c>
      <c r="Q38" s="86">
        <f>S37</f>
        <v>0</v>
      </c>
      <c r="R38" s="86"/>
      <c r="S38" s="86"/>
      <c r="T38" s="86"/>
      <c r="U38" s="86"/>
      <c r="V38" s="84"/>
      <c r="W38" s="84"/>
      <c r="X38" s="84"/>
      <c r="Y38" s="84"/>
      <c r="Z38" s="84"/>
    </row>
    <row r="39" spans="1:26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4"/>
      <c r="W39" s="84"/>
      <c r="X39" s="84"/>
      <c r="Y39" s="84"/>
      <c r="Z39" s="84"/>
    </row>
    <row r="40" spans="1:26" x14ac:dyDescent="0.25">
      <c r="A40" s="86"/>
      <c r="B40" s="86"/>
      <c r="C40" s="86"/>
      <c r="D40" s="86"/>
      <c r="E40" s="86"/>
      <c r="F40" s="86"/>
      <c r="G40" s="86"/>
      <c r="H40" s="84" t="s">
        <v>7</v>
      </c>
      <c r="I40" s="87">
        <v>0.38</v>
      </c>
      <c r="J40" s="86"/>
      <c r="K40" s="86"/>
      <c r="L40" s="86"/>
      <c r="M40" s="86"/>
      <c r="N40" s="86"/>
      <c r="O40" s="86"/>
      <c r="P40" s="84" t="s">
        <v>3</v>
      </c>
      <c r="Q40" s="92">
        <f>'Qb-Calculs'!F21</f>
        <v>0.13157894736842105</v>
      </c>
      <c r="R40" s="86"/>
      <c r="S40" s="86"/>
      <c r="T40" s="86"/>
      <c r="U40" s="86"/>
      <c r="V40" s="84"/>
      <c r="W40" s="84"/>
      <c r="X40" s="84"/>
      <c r="Y40" s="84"/>
      <c r="Z40" s="84"/>
    </row>
    <row r="41" spans="1:26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>
        <f>IF(I42=M38,1,IF(I42=M46, 2))</f>
        <v>1</v>
      </c>
      <c r="K41" s="86"/>
      <c r="L41" s="86"/>
      <c r="M41" s="86"/>
      <c r="N41" s="86"/>
      <c r="O41" s="86"/>
      <c r="P41" s="86"/>
      <c r="Q41" s="86"/>
      <c r="R41" s="86"/>
      <c r="S41" s="86">
        <f>SUM(P42,L46,H42,D34)</f>
        <v>1550</v>
      </c>
      <c r="T41" s="86"/>
      <c r="U41" s="86"/>
      <c r="V41" s="84"/>
      <c r="W41" s="84"/>
      <c r="X41" s="84"/>
      <c r="Y41" s="84"/>
      <c r="Z41" s="84"/>
    </row>
    <row r="42" spans="1:26" x14ac:dyDescent="0.25">
      <c r="A42" s="86"/>
      <c r="B42" s="86"/>
      <c r="C42" s="86"/>
      <c r="D42" s="86"/>
      <c r="E42" s="86"/>
      <c r="F42" s="86"/>
      <c r="G42" s="86"/>
      <c r="H42" s="85">
        <v>0</v>
      </c>
      <c r="I42" s="86">
        <f>MAX(M38,M46)</f>
        <v>0</v>
      </c>
      <c r="J42" s="86"/>
      <c r="K42" s="86"/>
      <c r="L42" s="86"/>
      <c r="M42" s="86"/>
      <c r="N42" s="86"/>
      <c r="O42" s="86"/>
      <c r="P42" s="85">
        <v>2400</v>
      </c>
      <c r="Q42" s="86">
        <f>S41</f>
        <v>1550</v>
      </c>
      <c r="R42" s="86"/>
      <c r="S42" s="86"/>
      <c r="T42" s="86"/>
      <c r="U42" s="86"/>
      <c r="V42" s="84"/>
      <c r="W42" s="84"/>
      <c r="X42" s="84"/>
      <c r="Y42" s="84"/>
      <c r="Z42" s="84"/>
    </row>
    <row r="43" spans="1:26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4"/>
      <c r="W43" s="84"/>
      <c r="X43" s="84"/>
      <c r="Y43" s="84"/>
      <c r="Z43" s="84"/>
    </row>
    <row r="44" spans="1:26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4" t="s">
        <v>18</v>
      </c>
      <c r="M44" s="84"/>
      <c r="N44" s="86"/>
      <c r="O44" s="86"/>
      <c r="P44" s="84" t="s">
        <v>5</v>
      </c>
      <c r="Q44" s="92">
        <f>'Qb-Calculs'!G21</f>
        <v>0.39473684210526316</v>
      </c>
      <c r="R44" s="86"/>
      <c r="S44" s="86"/>
      <c r="T44" s="86"/>
      <c r="U44" s="86"/>
      <c r="V44" s="84"/>
      <c r="W44" s="84"/>
      <c r="X44" s="84"/>
      <c r="Y44" s="84"/>
      <c r="Z44" s="84"/>
    </row>
    <row r="45" spans="1:26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>
        <f>SUM(P46,L46,H42,D34)</f>
        <v>150</v>
      </c>
      <c r="T45" s="86"/>
      <c r="U45" s="86"/>
      <c r="V45" s="84"/>
      <c r="W45" s="84"/>
      <c r="X45" s="84"/>
      <c r="Y45" s="84"/>
      <c r="Z45" s="84"/>
    </row>
    <row r="46" spans="1:26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5">
        <v>-850</v>
      </c>
      <c r="M46" s="89">
        <f>IF(ABS(1-SUM(Q40,Q44,Q48))&lt;= 0.0001, SUM(Q42*Q40,Q46*Q44,Q50*Q48), NA())</f>
        <v>-44.736842105263179</v>
      </c>
      <c r="N46" s="86"/>
      <c r="O46" s="86"/>
      <c r="P46" s="85">
        <v>1000</v>
      </c>
      <c r="Q46" s="86">
        <f>S45</f>
        <v>150</v>
      </c>
      <c r="R46" s="86"/>
      <c r="S46" s="86"/>
      <c r="T46" s="86"/>
      <c r="U46" s="86"/>
      <c r="V46" s="84"/>
      <c r="W46" s="84"/>
      <c r="X46" s="84"/>
      <c r="Y46" s="84"/>
      <c r="Z46" s="84"/>
    </row>
    <row r="47" spans="1:26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4"/>
      <c r="W47" s="84"/>
      <c r="X47" s="84"/>
      <c r="Y47" s="84"/>
      <c r="Z47" s="84"/>
    </row>
    <row r="48" spans="1:26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4" t="s">
        <v>4</v>
      </c>
      <c r="Q48" s="92">
        <f>'Qb-Calculs'!H21</f>
        <v>0.47368421052631582</v>
      </c>
      <c r="R48" s="86"/>
      <c r="S48" s="86"/>
      <c r="T48" s="86"/>
      <c r="U48" s="86"/>
      <c r="V48" s="84"/>
      <c r="W48" s="84"/>
      <c r="X48" s="84"/>
      <c r="Y48" s="84"/>
      <c r="Z48" s="84"/>
    </row>
    <row r="49" spans="1:26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>
        <f>SUM(P50,L46,H42,D34)</f>
        <v>-650</v>
      </c>
      <c r="T49" s="86"/>
      <c r="U49" s="86"/>
      <c r="V49" s="84"/>
      <c r="W49" s="84"/>
      <c r="X49" s="84"/>
      <c r="Y49" s="84"/>
      <c r="Z49" s="84"/>
    </row>
    <row r="50" spans="1:26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5">
        <v>200</v>
      </c>
      <c r="Q50" s="86">
        <f>S49</f>
        <v>-650</v>
      </c>
      <c r="R50" s="86"/>
      <c r="S50" s="86"/>
      <c r="T50" s="86"/>
      <c r="U50" s="86"/>
      <c r="V50" s="84"/>
      <c r="W50" s="84"/>
      <c r="X50" s="84"/>
      <c r="Y50" s="84"/>
      <c r="Z50" s="84"/>
    </row>
    <row r="51" spans="1:26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4"/>
      <c r="W51" s="84"/>
      <c r="X51" s="84"/>
      <c r="Y51" s="84"/>
      <c r="Z51" s="84"/>
    </row>
    <row r="52" spans="1:26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x14ac:dyDescent="0.2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x14ac:dyDescent="0.2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x14ac:dyDescent="0.2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x14ac:dyDescent="0.2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x14ac:dyDescent="0.2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x14ac:dyDescent="0.2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x14ac:dyDescent="0.2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x14ac:dyDescent="0.2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x14ac:dyDescent="0.2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x14ac:dyDescent="0.2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x14ac:dyDescent="0.2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x14ac:dyDescent="0.2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x14ac:dyDescent="0.2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x14ac:dyDescent="0.2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x14ac:dyDescent="0.2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x14ac:dyDescent="0.2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x14ac:dyDescent="0.2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x14ac:dyDescent="0.2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x14ac:dyDescent="0.2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x14ac:dyDescent="0.2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x14ac:dyDescent="0.2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x14ac:dyDescent="0.2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x14ac:dyDescent="0.2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x14ac:dyDescent="0.2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x14ac:dyDescent="0.2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x14ac:dyDescent="0.2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x14ac:dyDescent="0.2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x14ac:dyDescent="0.2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x14ac:dyDescent="0.2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x14ac:dyDescent="0.2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x14ac:dyDescent="0.2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x14ac:dyDescent="0.2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x14ac:dyDescent="0.2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x14ac:dyDescent="0.2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x14ac:dyDescent="0.2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x14ac:dyDescent="0.2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x14ac:dyDescent="0.2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x14ac:dyDescent="0.2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x14ac:dyDescent="0.2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x14ac:dyDescent="0.2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x14ac:dyDescent="0.2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x14ac:dyDescent="0.2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x14ac:dyDescent="0.2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x14ac:dyDescent="0.2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x14ac:dyDescent="0.2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x14ac:dyDescent="0.2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x14ac:dyDescent="0.2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x14ac:dyDescent="0.2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x14ac:dyDescent="0.2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x14ac:dyDescent="0.2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x14ac:dyDescent="0.2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x14ac:dyDescent="0.2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x14ac:dyDescent="0.2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x14ac:dyDescent="0.2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x14ac:dyDescent="0.2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x14ac:dyDescent="0.2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x14ac:dyDescent="0.2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x14ac:dyDescent="0.2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x14ac:dyDescent="0.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x14ac:dyDescent="0.2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x14ac:dyDescent="0.2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x14ac:dyDescent="0.2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x14ac:dyDescent="0.2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x14ac:dyDescent="0.2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x14ac:dyDescent="0.2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x14ac:dyDescent="0.2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x14ac:dyDescent="0.2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x14ac:dyDescent="0.2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x14ac:dyDescent="0.2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x14ac:dyDescent="0.2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x14ac:dyDescent="0.2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x14ac:dyDescent="0.2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x14ac:dyDescent="0.2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x14ac:dyDescent="0.2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x14ac:dyDescent="0.2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x14ac:dyDescent="0.2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x14ac:dyDescent="0.2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x14ac:dyDescent="0.2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x14ac:dyDescent="0.2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x14ac:dyDescent="0.2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x14ac:dyDescent="0.2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x14ac:dyDescent="0.2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x14ac:dyDescent="0.2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x14ac:dyDescent="0.2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x14ac:dyDescent="0.2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x14ac:dyDescent="0.2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x14ac:dyDescent="0.2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x14ac:dyDescent="0.2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x14ac:dyDescent="0.2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x14ac:dyDescent="0.2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x14ac:dyDescent="0.2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x14ac:dyDescent="0.2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x14ac:dyDescent="0.2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x14ac:dyDescent="0.2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x14ac:dyDescent="0.2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x14ac:dyDescent="0.2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x14ac:dyDescent="0.2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x14ac:dyDescent="0.2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x14ac:dyDescent="0.2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x14ac:dyDescent="0.2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x14ac:dyDescent="0.2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x14ac:dyDescent="0.2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x14ac:dyDescent="0.2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x14ac:dyDescent="0.2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x14ac:dyDescent="0.2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x14ac:dyDescent="0.2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x14ac:dyDescent="0.2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x14ac:dyDescent="0.2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x14ac:dyDescent="0.2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x14ac:dyDescent="0.2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x14ac:dyDescent="0.2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x14ac:dyDescent="0.2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x14ac:dyDescent="0.2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x14ac:dyDescent="0.2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x14ac:dyDescent="0.2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x14ac:dyDescent="0.2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x14ac:dyDescent="0.2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x14ac:dyDescent="0.2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x14ac:dyDescent="0.2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x14ac:dyDescent="0.2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x14ac:dyDescent="0.2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x14ac:dyDescent="0.2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x14ac:dyDescent="0.2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x14ac:dyDescent="0.2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x14ac:dyDescent="0.2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x14ac:dyDescent="0.2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x14ac:dyDescent="0.2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x14ac:dyDescent="0.2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x14ac:dyDescent="0.2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x14ac:dyDescent="0.2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x14ac:dyDescent="0.2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x14ac:dyDescent="0.2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x14ac:dyDescent="0.2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x14ac:dyDescent="0.2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x14ac:dyDescent="0.2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x14ac:dyDescent="0.2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x14ac:dyDescent="0.2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x14ac:dyDescent="0.2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x14ac:dyDescent="0.2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x14ac:dyDescent="0.2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x14ac:dyDescent="0.2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x14ac:dyDescent="0.2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x14ac:dyDescent="0.2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x14ac:dyDescent="0.2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x14ac:dyDescent="0.2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x14ac:dyDescent="0.2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x14ac:dyDescent="0.2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x14ac:dyDescent="0.2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x14ac:dyDescent="0.2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x14ac:dyDescent="0.2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x14ac:dyDescent="0.2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x14ac:dyDescent="0.2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x14ac:dyDescent="0.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x14ac:dyDescent="0.2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x14ac:dyDescent="0.2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x14ac:dyDescent="0.2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x14ac:dyDescent="0.2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x14ac:dyDescent="0.2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x14ac:dyDescent="0.2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x14ac:dyDescent="0.2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x14ac:dyDescent="0.2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x14ac:dyDescent="0.2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x14ac:dyDescent="0.2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x14ac:dyDescent="0.2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x14ac:dyDescent="0.2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x14ac:dyDescent="0.2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x14ac:dyDescent="0.2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x14ac:dyDescent="0.2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x14ac:dyDescent="0.2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x14ac:dyDescent="0.2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x14ac:dyDescent="0.2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x14ac:dyDescent="0.2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x14ac:dyDescent="0.2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x14ac:dyDescent="0.2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x14ac:dyDescent="0.2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x14ac:dyDescent="0.2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x14ac:dyDescent="0.2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x14ac:dyDescent="0.2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x14ac:dyDescent="0.2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x14ac:dyDescent="0.2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x14ac:dyDescent="0.2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x14ac:dyDescent="0.2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x14ac:dyDescent="0.2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x14ac:dyDescent="0.2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x14ac:dyDescent="0.2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x14ac:dyDescent="0.2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x14ac:dyDescent="0.2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x14ac:dyDescent="0.2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x14ac:dyDescent="0.2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x14ac:dyDescent="0.2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x14ac:dyDescent="0.2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x14ac:dyDescent="0.2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x14ac:dyDescent="0.2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x14ac:dyDescent="0.2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x14ac:dyDescent="0.2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x14ac:dyDescent="0.2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x14ac:dyDescent="0.2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x14ac:dyDescent="0.2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x14ac:dyDescent="0.2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x14ac:dyDescent="0.2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x14ac:dyDescent="0.2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x14ac:dyDescent="0.2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x14ac:dyDescent="0.2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x14ac:dyDescent="0.2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x14ac:dyDescent="0.2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x14ac:dyDescent="0.2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x14ac:dyDescent="0.2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x14ac:dyDescent="0.2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x14ac:dyDescent="0.2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x14ac:dyDescent="0.2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x14ac:dyDescent="0.2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x14ac:dyDescent="0.2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x14ac:dyDescent="0.2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x14ac:dyDescent="0.2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x14ac:dyDescent="0.2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x14ac:dyDescent="0.2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x14ac:dyDescent="0.2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x14ac:dyDescent="0.2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x14ac:dyDescent="0.2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x14ac:dyDescent="0.2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x14ac:dyDescent="0.2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x14ac:dyDescent="0.2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x14ac:dyDescent="0.2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x14ac:dyDescent="0.2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x14ac:dyDescent="0.2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</sheetData>
  <sheetProtection password="DF3B" sheet="1" objects="1" scenarios="1" formatCells="0" formatColumns="0" formatRow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48" sqref="K48"/>
    </sheetView>
  </sheetViews>
  <sheetFormatPr baseColWidth="10" defaultRowHeight="15" x14ac:dyDescent="0.25"/>
  <cols>
    <col min="1" max="16384" width="11.42578125" style="2"/>
  </cols>
  <sheetData>
    <row r="1" spans="1:9" ht="15.75" x14ac:dyDescent="0.25">
      <c r="A1" s="9" t="s">
        <v>44</v>
      </c>
    </row>
    <row r="4" spans="1:9" ht="15.75" x14ac:dyDescent="0.25">
      <c r="A4" s="95" t="s">
        <v>0</v>
      </c>
      <c r="B4" s="95"/>
      <c r="C4" s="96"/>
      <c r="D4" s="96"/>
      <c r="E4" s="96"/>
      <c r="F4" s="96"/>
      <c r="G4" s="96"/>
      <c r="H4" s="96"/>
    </row>
    <row r="5" spans="1:9" ht="15.75" thickBot="1" x14ac:dyDescent="0.3"/>
    <row r="6" spans="1:9" ht="15.75" thickBot="1" x14ac:dyDescent="0.3">
      <c r="A6" s="2" t="s">
        <v>2</v>
      </c>
      <c r="E6" s="91"/>
      <c r="F6" s="32" t="s">
        <v>3</v>
      </c>
      <c r="G6" s="33" t="s">
        <v>5</v>
      </c>
      <c r="H6" s="34" t="s">
        <v>4</v>
      </c>
      <c r="I6" s="35" t="s">
        <v>1</v>
      </c>
    </row>
    <row r="7" spans="1:9" ht="15.75" thickBot="1" x14ac:dyDescent="0.3">
      <c r="A7" s="1"/>
      <c r="E7" s="91"/>
      <c r="F7" s="36">
        <f>PbS</f>
        <v>0.5</v>
      </c>
      <c r="G7" s="37">
        <f>PbM</f>
        <v>0.3</v>
      </c>
      <c r="H7" s="38">
        <f>PbF</f>
        <v>0.2</v>
      </c>
      <c r="I7" s="39">
        <f>SUM(F7:H7)</f>
        <v>1</v>
      </c>
    </row>
    <row r="8" spans="1:9" ht="15.75" thickBot="1" x14ac:dyDescent="0.3">
      <c r="E8" s="40"/>
      <c r="F8" s="41"/>
      <c r="G8" s="41"/>
      <c r="H8" s="41"/>
      <c r="I8" s="42"/>
    </row>
    <row r="9" spans="1:9" ht="15.75" thickBot="1" x14ac:dyDescent="0.3">
      <c r="A9" s="2" t="s">
        <v>8</v>
      </c>
      <c r="E9" s="91"/>
      <c r="F9" s="32" t="s">
        <v>3</v>
      </c>
      <c r="G9" s="33" t="s">
        <v>5</v>
      </c>
      <c r="H9" s="34" t="s">
        <v>4</v>
      </c>
      <c r="I9" s="42"/>
    </row>
    <row r="10" spans="1:9" x14ac:dyDescent="0.25">
      <c r="E10" s="43" t="s">
        <v>6</v>
      </c>
      <c r="F10" s="44">
        <v>0.7</v>
      </c>
      <c r="G10" s="45">
        <v>0.5</v>
      </c>
      <c r="H10" s="46">
        <v>0.3</v>
      </c>
      <c r="I10" s="42"/>
    </row>
    <row r="11" spans="1:9" ht="15.75" thickBot="1" x14ac:dyDescent="0.3">
      <c r="E11" s="47" t="s">
        <v>7</v>
      </c>
      <c r="F11" s="48">
        <v>0.3</v>
      </c>
      <c r="G11" s="49">
        <v>0.5</v>
      </c>
      <c r="H11" s="50">
        <v>0.7</v>
      </c>
      <c r="I11" s="42"/>
    </row>
    <row r="12" spans="1:9" ht="15.75" thickBot="1" x14ac:dyDescent="0.3">
      <c r="E12" s="51" t="s">
        <v>1</v>
      </c>
      <c r="F12" s="52">
        <f>SUM(F10:F11)</f>
        <v>1</v>
      </c>
      <c r="G12" s="53">
        <f>SUM(G10:G11)</f>
        <v>1</v>
      </c>
      <c r="H12" s="38">
        <f>SUM(H10:H11)</f>
        <v>1</v>
      </c>
      <c r="I12" s="42"/>
    </row>
    <row r="13" spans="1:9" ht="15.75" thickBot="1" x14ac:dyDescent="0.3">
      <c r="A13" s="40"/>
      <c r="E13" s="40"/>
      <c r="F13" s="41"/>
      <c r="G13" s="41"/>
      <c r="H13" s="41"/>
      <c r="I13" s="42"/>
    </row>
    <row r="14" spans="1:9" ht="15.75" thickBot="1" x14ac:dyDescent="0.3">
      <c r="A14" s="2" t="s">
        <v>9</v>
      </c>
      <c r="E14" s="91"/>
      <c r="F14" s="54" t="s">
        <v>3</v>
      </c>
      <c r="G14" s="55" t="s">
        <v>5</v>
      </c>
      <c r="H14" s="56" t="s">
        <v>4</v>
      </c>
      <c r="I14" s="35" t="s">
        <v>1</v>
      </c>
    </row>
    <row r="15" spans="1:9" x14ac:dyDescent="0.25">
      <c r="E15" s="57" t="s">
        <v>6</v>
      </c>
      <c r="F15" s="44">
        <f>F$7*F10</f>
        <v>0.35</v>
      </c>
      <c r="G15" s="45">
        <f t="shared" ref="G15:H16" si="0">G$7*G10</f>
        <v>0.15</v>
      </c>
      <c r="H15" s="46">
        <f t="shared" si="0"/>
        <v>0.06</v>
      </c>
      <c r="I15" s="58">
        <f>SUM(F15:H15)</f>
        <v>0.56000000000000005</v>
      </c>
    </row>
    <row r="16" spans="1:9" ht="15.75" thickBot="1" x14ac:dyDescent="0.3">
      <c r="E16" s="59" t="s">
        <v>7</v>
      </c>
      <c r="F16" s="36">
        <f t="shared" ref="F16" si="1">F$7*F11</f>
        <v>0.15</v>
      </c>
      <c r="G16" s="37">
        <f t="shared" si="0"/>
        <v>0.15</v>
      </c>
      <c r="H16" s="60">
        <f t="shared" si="0"/>
        <v>0.13999999999999999</v>
      </c>
      <c r="I16" s="61">
        <f>SUM(F16:H16)</f>
        <v>0.43999999999999995</v>
      </c>
    </row>
    <row r="17" spans="1:9" ht="15.75" thickBot="1" x14ac:dyDescent="0.3">
      <c r="E17" s="62" t="s">
        <v>1</v>
      </c>
      <c r="F17" s="36">
        <f>SUM(F15:F16)</f>
        <v>0.5</v>
      </c>
      <c r="G17" s="37">
        <f>SUM(G15:G16)</f>
        <v>0.3</v>
      </c>
      <c r="H17" s="60">
        <f>SUM(H15:H16)</f>
        <v>0.19999999999999998</v>
      </c>
      <c r="I17" s="39">
        <f>SUM(F17:H17)</f>
        <v>1</v>
      </c>
    </row>
    <row r="18" spans="1:9" ht="15.75" thickBot="1" x14ac:dyDescent="0.3">
      <c r="F18" s="42"/>
      <c r="G18" s="42"/>
      <c r="H18" s="42"/>
      <c r="I18" s="42"/>
    </row>
    <row r="19" spans="1:9" ht="15.75" thickBot="1" x14ac:dyDescent="0.3">
      <c r="A19" s="2" t="s">
        <v>10</v>
      </c>
      <c r="E19" s="91"/>
      <c r="F19" s="54" t="s">
        <v>3</v>
      </c>
      <c r="G19" s="55" t="s">
        <v>5</v>
      </c>
      <c r="H19" s="56" t="s">
        <v>4</v>
      </c>
      <c r="I19" s="35" t="s">
        <v>1</v>
      </c>
    </row>
    <row r="20" spans="1:9" x14ac:dyDescent="0.25">
      <c r="E20" s="57" t="s">
        <v>6</v>
      </c>
      <c r="F20" s="63">
        <f>F15/$I15</f>
        <v>0.62499999999999989</v>
      </c>
      <c r="G20" s="64">
        <f t="shared" ref="G20:G21" si="2">G15/$I15</f>
        <v>0.26785714285714285</v>
      </c>
      <c r="H20" s="65">
        <f>H15/$I15</f>
        <v>0.10714285714285712</v>
      </c>
      <c r="I20" s="58">
        <f>SUM(F20:H20)</f>
        <v>0.99999999999999989</v>
      </c>
    </row>
    <row r="21" spans="1:9" ht="15.75" thickBot="1" x14ac:dyDescent="0.3">
      <c r="E21" s="59" t="s">
        <v>7</v>
      </c>
      <c r="F21" s="66">
        <f>F16/$I16</f>
        <v>0.34090909090909094</v>
      </c>
      <c r="G21" s="67">
        <f t="shared" si="2"/>
        <v>0.34090909090909094</v>
      </c>
      <c r="H21" s="68">
        <f>H16/$I16</f>
        <v>0.31818181818181818</v>
      </c>
      <c r="I21" s="61">
        <f>SUM(F21:H21)</f>
        <v>1</v>
      </c>
    </row>
    <row r="24" spans="1:9" ht="15.75" thickBot="1" x14ac:dyDescent="0.3">
      <c r="A24" s="1" t="s">
        <v>41</v>
      </c>
    </row>
    <row r="25" spans="1:9" x14ac:dyDescent="0.25">
      <c r="A25" s="8" t="s">
        <v>43</v>
      </c>
      <c r="B25" s="69"/>
      <c r="C25" s="69" t="s">
        <v>19</v>
      </c>
      <c r="D25" s="69"/>
      <c r="E25" s="70">
        <v>0</v>
      </c>
    </row>
    <row r="26" spans="1:9" x14ac:dyDescent="0.25">
      <c r="A26" s="10"/>
      <c r="B26" s="5"/>
      <c r="C26" s="5" t="s">
        <v>18</v>
      </c>
      <c r="D26" s="5" t="s">
        <v>3</v>
      </c>
      <c r="E26" s="71">
        <f>RS-Fr</f>
        <v>1550</v>
      </c>
    </row>
    <row r="27" spans="1:9" x14ac:dyDescent="0.25">
      <c r="A27" s="10"/>
      <c r="B27" s="5"/>
      <c r="C27" s="5"/>
      <c r="D27" s="5" t="s">
        <v>5</v>
      </c>
      <c r="E27" s="71">
        <f>RM-Fr</f>
        <v>150</v>
      </c>
    </row>
    <row r="28" spans="1:9" ht="15.75" thickBot="1" x14ac:dyDescent="0.3">
      <c r="A28" s="11"/>
      <c r="B28" s="72"/>
      <c r="C28" s="72"/>
      <c r="D28" s="72" t="s">
        <v>4</v>
      </c>
      <c r="E28" s="73">
        <f>RF-Fr</f>
        <v>-650</v>
      </c>
    </row>
    <row r="29" spans="1:9" x14ac:dyDescent="0.25">
      <c r="A29" s="5" t="s">
        <v>33</v>
      </c>
      <c r="B29" s="5"/>
      <c r="C29" s="5"/>
      <c r="D29" s="5"/>
      <c r="E29" s="74"/>
    </row>
    <row r="30" spans="1:9" x14ac:dyDescent="0.25">
      <c r="E30" s="42"/>
    </row>
    <row r="31" spans="1:9" ht="15.75" thickBot="1" x14ac:dyDescent="0.3">
      <c r="A31" s="1" t="s">
        <v>35</v>
      </c>
      <c r="E31" s="42"/>
    </row>
    <row r="32" spans="1:9" x14ac:dyDescent="0.25">
      <c r="A32" s="8" t="s">
        <v>16</v>
      </c>
      <c r="B32" s="69"/>
      <c r="C32" s="69" t="s">
        <v>19</v>
      </c>
      <c r="D32" s="69"/>
      <c r="E32" s="70">
        <v>0</v>
      </c>
    </row>
    <row r="33" spans="1:5" x14ac:dyDescent="0.25">
      <c r="A33" s="10"/>
      <c r="B33" s="5"/>
      <c r="C33" s="5" t="s">
        <v>18</v>
      </c>
      <c r="D33" s="5"/>
      <c r="E33" s="71">
        <f>F7*E26+G7*E27+H7*E28</f>
        <v>690</v>
      </c>
    </row>
    <row r="34" spans="1:5" x14ac:dyDescent="0.25">
      <c r="A34" s="10" t="s">
        <v>17</v>
      </c>
      <c r="B34" s="5" t="s">
        <v>6</v>
      </c>
      <c r="C34" s="5" t="s">
        <v>19</v>
      </c>
      <c r="D34" s="5"/>
      <c r="E34" s="71">
        <v>0</v>
      </c>
    </row>
    <row r="35" spans="1:5" x14ac:dyDescent="0.25">
      <c r="A35" s="10"/>
      <c r="B35" s="5"/>
      <c r="C35" s="5" t="s">
        <v>18</v>
      </c>
      <c r="D35" s="5"/>
      <c r="E35" s="71">
        <f>F20*E26+G20*E27+H20*E28</f>
        <v>939.28571428571411</v>
      </c>
    </row>
    <row r="36" spans="1:5" x14ac:dyDescent="0.25">
      <c r="A36" s="10"/>
      <c r="B36" s="5" t="s">
        <v>7</v>
      </c>
      <c r="C36" s="5" t="s">
        <v>19</v>
      </c>
      <c r="D36" s="5"/>
      <c r="E36" s="71">
        <v>0</v>
      </c>
    </row>
    <row r="37" spans="1:5" ht="15.75" thickBot="1" x14ac:dyDescent="0.3">
      <c r="A37" s="11"/>
      <c r="B37" s="72"/>
      <c r="C37" s="72" t="s">
        <v>18</v>
      </c>
      <c r="D37" s="72"/>
      <c r="E37" s="73">
        <f>F21*E26+G21*E27+H21*E28</f>
        <v>372.7272727272728</v>
      </c>
    </row>
    <row r="38" spans="1:5" x14ac:dyDescent="0.25">
      <c r="E38" s="75"/>
    </row>
    <row r="39" spans="1:5" ht="15.75" thickBot="1" x14ac:dyDescent="0.3">
      <c r="A39" s="2" t="s">
        <v>34</v>
      </c>
      <c r="E39" s="75"/>
    </row>
    <row r="40" spans="1:5" x14ac:dyDescent="0.25">
      <c r="A40" s="8" t="s">
        <v>16</v>
      </c>
      <c r="B40" s="69"/>
      <c r="C40" s="69"/>
      <c r="D40" s="69"/>
      <c r="E40" s="70">
        <f>MAX(E32:E33)</f>
        <v>690</v>
      </c>
    </row>
    <row r="41" spans="1:5" x14ac:dyDescent="0.25">
      <c r="A41" s="10" t="s">
        <v>17</v>
      </c>
      <c r="B41" s="5" t="s">
        <v>6</v>
      </c>
      <c r="C41" s="5"/>
      <c r="D41" s="5"/>
      <c r="E41" s="71">
        <f>MAX(E34:E35)</f>
        <v>939.28571428571411</v>
      </c>
    </row>
    <row r="42" spans="1:5" ht="15.75" thickBot="1" x14ac:dyDescent="0.3">
      <c r="A42" s="11"/>
      <c r="B42" s="72" t="s">
        <v>7</v>
      </c>
      <c r="C42" s="72"/>
      <c r="D42" s="72"/>
      <c r="E42" s="73">
        <f>MAX(E36:E37)</f>
        <v>372.7272727272728</v>
      </c>
    </row>
    <row r="43" spans="1:5" x14ac:dyDescent="0.25">
      <c r="E43" s="42"/>
    </row>
    <row r="44" spans="1:5" x14ac:dyDescent="0.25">
      <c r="A44" s="1" t="s">
        <v>36</v>
      </c>
      <c r="E44" s="76">
        <f>I15*E41+I16*E42</f>
        <v>690</v>
      </c>
    </row>
    <row r="46" spans="1:5" x14ac:dyDescent="0.25">
      <c r="A46" s="83" t="s">
        <v>45</v>
      </c>
      <c r="E46" s="76">
        <f>E44-E40</f>
        <v>0</v>
      </c>
    </row>
  </sheetData>
  <mergeCells count="1"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0"/>
  <sheetViews>
    <sheetView workbookViewId="0">
      <selection activeCell="Q26" sqref="Q26"/>
    </sheetView>
  </sheetViews>
  <sheetFormatPr baseColWidth="10" defaultRowHeight="15" x14ac:dyDescent="0.25"/>
  <cols>
    <col min="1" max="1" width="9.28515625" customWidth="1"/>
    <col min="2" max="2" width="2.7109375" customWidth="1"/>
    <col min="3" max="3" width="3.7109375" customWidth="1"/>
    <col min="4" max="4" width="12.7109375" customWidth="1"/>
    <col min="5" max="5" width="9.28515625" customWidth="1"/>
    <col min="6" max="6" width="2.7109375" customWidth="1"/>
    <col min="7" max="7" width="3.7109375" customWidth="1"/>
    <col min="8" max="8" width="12.7109375" customWidth="1"/>
    <col min="9" max="9" width="9.28515625" customWidth="1"/>
    <col min="10" max="10" width="2.7109375" customWidth="1"/>
    <col min="11" max="11" width="3.7109375" customWidth="1"/>
    <col min="12" max="12" width="12.7109375" customWidth="1"/>
    <col min="13" max="13" width="9.28515625" customWidth="1"/>
    <col min="14" max="14" width="2.7109375" customWidth="1"/>
    <col min="15" max="15" width="3.7109375" customWidth="1"/>
    <col min="16" max="16" width="12.7109375" customWidth="1"/>
    <col min="17" max="17" width="9.28515625" customWidth="1"/>
    <col min="18" max="18" width="2.7109375" customWidth="1"/>
  </cols>
  <sheetData>
    <row r="1" spans="1:27" ht="15.75" x14ac:dyDescent="0.25">
      <c r="A1" s="88" t="s">
        <v>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4"/>
      <c r="W4" s="84"/>
      <c r="X4" s="84"/>
      <c r="Y4" s="84"/>
      <c r="Z4" s="84"/>
    </row>
    <row r="5" spans="1:27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4"/>
      <c r="W5" s="84"/>
      <c r="X5" s="84"/>
      <c r="Y5" s="84"/>
      <c r="Z5" s="84"/>
    </row>
    <row r="6" spans="1:27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4"/>
      <c r="W6" s="84"/>
      <c r="X6" s="84"/>
      <c r="Y6" s="84"/>
      <c r="Z6" s="84"/>
    </row>
    <row r="7" spans="1:27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4"/>
      <c r="W7" s="84"/>
      <c r="X7" s="84"/>
      <c r="Y7" s="84"/>
      <c r="Z7" s="84"/>
    </row>
    <row r="8" spans="1:27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4" t="s">
        <v>19</v>
      </c>
      <c r="M8" s="84"/>
      <c r="N8" s="86"/>
      <c r="O8" s="86"/>
      <c r="P8" s="84" t="s">
        <v>48</v>
      </c>
      <c r="Q8" s="93">
        <v>1</v>
      </c>
      <c r="R8" s="86"/>
      <c r="S8" s="86"/>
      <c r="T8" s="86"/>
      <c r="U8" s="86"/>
      <c r="V8" s="84"/>
      <c r="W8" s="84"/>
      <c r="X8" s="84"/>
      <c r="Y8" s="84"/>
      <c r="Z8" s="84"/>
    </row>
    <row r="9" spans="1:27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>
        <f>SUM(P10,L10,H14,D22)</f>
        <v>0</v>
      </c>
      <c r="T9" s="86"/>
      <c r="U9" s="86"/>
      <c r="V9" s="84"/>
      <c r="W9" s="84"/>
      <c r="X9" s="84"/>
      <c r="Y9" s="84"/>
      <c r="Z9" s="84"/>
    </row>
    <row r="10" spans="1:27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5">
        <v>0</v>
      </c>
      <c r="M10" s="94">
        <f>IF(ABS(1-SUM(Q8))&lt;= 0.0001, SUM(Q10*Q8), NA())</f>
        <v>0</v>
      </c>
      <c r="N10" s="94"/>
      <c r="O10" s="94"/>
      <c r="P10" s="93">
        <v>0</v>
      </c>
      <c r="Q10" s="86">
        <f>S9</f>
        <v>0</v>
      </c>
      <c r="R10" s="86"/>
      <c r="S10" s="86"/>
      <c r="T10" s="86"/>
      <c r="U10" s="86"/>
      <c r="V10" s="84"/>
      <c r="W10" s="84"/>
      <c r="X10" s="84"/>
      <c r="Y10" s="84"/>
      <c r="Z10" s="84"/>
    </row>
    <row r="11" spans="1:27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4"/>
      <c r="W11" s="84"/>
      <c r="X11" s="84"/>
      <c r="Y11" s="84"/>
      <c r="Z11" s="84"/>
    </row>
    <row r="12" spans="1:27" x14ac:dyDescent="0.25">
      <c r="A12" s="86"/>
      <c r="B12" s="86"/>
      <c r="C12" s="86"/>
      <c r="D12" s="86"/>
      <c r="E12" s="86"/>
      <c r="F12" s="86"/>
      <c r="G12" s="86"/>
      <c r="H12" s="84" t="s">
        <v>6</v>
      </c>
      <c r="I12" s="87">
        <v>0.56000000000000005</v>
      </c>
      <c r="J12" s="86"/>
      <c r="K12" s="86"/>
      <c r="L12" s="86"/>
      <c r="M12" s="86"/>
      <c r="N12" s="86"/>
      <c r="O12" s="86"/>
      <c r="P12" s="84" t="s">
        <v>3</v>
      </c>
      <c r="Q12" s="92">
        <v>0.625</v>
      </c>
      <c r="R12" s="86"/>
      <c r="S12" s="86"/>
      <c r="T12" s="86"/>
      <c r="U12" s="86"/>
      <c r="V12" s="84"/>
      <c r="W12" s="84"/>
      <c r="X12" s="84"/>
      <c r="Y12" s="84"/>
      <c r="Z12" s="84"/>
    </row>
    <row r="13" spans="1:27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>
        <f>IF(I14=M10,1,IF(I14=M18, 2))</f>
        <v>2</v>
      </c>
      <c r="K13" s="86"/>
      <c r="L13" s="86"/>
      <c r="M13" s="86"/>
      <c r="N13" s="86"/>
      <c r="O13" s="86"/>
      <c r="P13" s="86"/>
      <c r="Q13" s="86"/>
      <c r="R13" s="86"/>
      <c r="S13" s="86">
        <f>SUM(P14,L18,H14,D22)</f>
        <v>1550</v>
      </c>
      <c r="T13" s="86"/>
      <c r="U13" s="86"/>
      <c r="V13" s="84"/>
      <c r="W13" s="84"/>
      <c r="X13" s="84"/>
      <c r="Y13" s="84"/>
      <c r="Z13" s="84"/>
    </row>
    <row r="14" spans="1:27" x14ac:dyDescent="0.25">
      <c r="A14" s="86"/>
      <c r="B14" s="86"/>
      <c r="C14" s="86"/>
      <c r="D14" s="86"/>
      <c r="E14" s="86"/>
      <c r="F14" s="86"/>
      <c r="G14" s="86"/>
      <c r="H14" s="85">
        <v>0</v>
      </c>
      <c r="I14" s="89">
        <f>MAX(M10,M18)</f>
        <v>939.28571428571445</v>
      </c>
      <c r="J14" s="86"/>
      <c r="K14" s="86"/>
      <c r="L14" s="86"/>
      <c r="M14" s="86"/>
      <c r="N14" s="86"/>
      <c r="O14" s="86"/>
      <c r="P14" s="85">
        <v>2400</v>
      </c>
      <c r="Q14" s="86">
        <f>S13</f>
        <v>1550</v>
      </c>
      <c r="R14" s="86"/>
      <c r="S14" s="86"/>
      <c r="T14" s="86"/>
      <c r="U14" s="86"/>
      <c r="V14" s="84"/>
      <c r="W14" s="84"/>
      <c r="X14" s="84"/>
      <c r="Y14" s="84"/>
      <c r="Z14" s="84"/>
    </row>
    <row r="15" spans="1:27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4"/>
      <c r="W15" s="84"/>
      <c r="X15" s="84"/>
      <c r="Y15" s="84"/>
      <c r="Z15" s="84"/>
    </row>
    <row r="16" spans="1:2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4" t="s">
        <v>18</v>
      </c>
      <c r="M16" s="84"/>
      <c r="N16" s="86"/>
      <c r="O16" s="86"/>
      <c r="P16" s="84" t="s">
        <v>5</v>
      </c>
      <c r="Q16" s="92">
        <v>0.26785714285714302</v>
      </c>
      <c r="R16" s="86"/>
      <c r="S16" s="86"/>
      <c r="T16" s="86"/>
      <c r="U16" s="86"/>
      <c r="V16" s="84"/>
      <c r="W16" s="84"/>
      <c r="X16" s="84"/>
      <c r="Y16" s="84"/>
      <c r="Z16" s="84"/>
    </row>
    <row r="17" spans="1:26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>
        <f>SUM(P18,L18,H14,D22)</f>
        <v>150</v>
      </c>
      <c r="T17" s="86"/>
      <c r="U17" s="86"/>
      <c r="V17" s="84"/>
      <c r="W17" s="84"/>
      <c r="X17" s="84"/>
      <c r="Y17" s="84"/>
      <c r="Z17" s="84"/>
    </row>
    <row r="18" spans="1:26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5">
        <v>-850</v>
      </c>
      <c r="M18" s="89">
        <f>IF(ABS(1-SUM(Q12,Q16,Q20))&lt;= 0.0001, SUM(Q14*Q12,Q18*Q16,Q22*Q20), NA())</f>
        <v>939.28571428571445</v>
      </c>
      <c r="N18" s="86"/>
      <c r="O18" s="86"/>
      <c r="P18" s="85">
        <v>1000</v>
      </c>
      <c r="Q18" s="86">
        <f>S17</f>
        <v>150</v>
      </c>
      <c r="R18" s="86"/>
      <c r="S18" s="86"/>
      <c r="T18" s="86"/>
      <c r="U18" s="86"/>
      <c r="V18" s="84"/>
      <c r="W18" s="84"/>
      <c r="X18" s="84"/>
      <c r="Y18" s="84"/>
      <c r="Z18" s="84"/>
    </row>
    <row r="19" spans="1:26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4"/>
      <c r="W19" s="84"/>
      <c r="X19" s="84"/>
      <c r="Y19" s="84"/>
      <c r="Z19" s="84"/>
    </row>
    <row r="20" spans="1:26" x14ac:dyDescent="0.25">
      <c r="A20" s="86"/>
      <c r="B20" s="86"/>
      <c r="C20" s="86"/>
      <c r="D20" s="84" t="s">
        <v>17</v>
      </c>
      <c r="E20" s="84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4" t="s">
        <v>4</v>
      </c>
      <c r="Q20" s="92">
        <v>0.107142857142857</v>
      </c>
      <c r="R20" s="86"/>
      <c r="S20" s="86"/>
      <c r="T20" s="86"/>
      <c r="U20" s="86"/>
      <c r="V20" s="84"/>
      <c r="W20" s="84"/>
      <c r="X20" s="84"/>
      <c r="Y20" s="84"/>
      <c r="Z20" s="84"/>
    </row>
    <row r="21" spans="1:26" x14ac:dyDescent="0.25">
      <c r="A21" s="86"/>
      <c r="B21" s="86">
        <f>IF(A22=E22,1)</f>
        <v>1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>
        <f>SUM(P22,L18,H14,D22)</f>
        <v>-650</v>
      </c>
      <c r="T21" s="86"/>
      <c r="U21" s="86"/>
      <c r="V21" s="84"/>
      <c r="W21" s="84"/>
      <c r="X21" s="84"/>
      <c r="Y21" s="84"/>
      <c r="Z21" s="84"/>
    </row>
    <row r="22" spans="1:26" x14ac:dyDescent="0.25">
      <c r="A22" s="86">
        <f>MAX(E22)</f>
        <v>690.00000000000023</v>
      </c>
      <c r="B22" s="86"/>
      <c r="C22" s="86"/>
      <c r="D22" s="85">
        <v>0</v>
      </c>
      <c r="E22" s="86">
        <f>IF(ABS(1-SUM(I12,I28))&lt;= 0.0001, SUM(I14*I12,I30*I28), NA())</f>
        <v>690.00000000000023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5">
        <v>200</v>
      </c>
      <c r="Q22" s="86">
        <f>S21</f>
        <v>-650</v>
      </c>
      <c r="R22" s="86"/>
      <c r="S22" s="86"/>
      <c r="T22" s="86"/>
      <c r="U22" s="86"/>
      <c r="V22" s="84"/>
      <c r="W22" s="84"/>
      <c r="X22" s="84"/>
      <c r="Y22" s="84"/>
      <c r="Z22" s="84"/>
    </row>
    <row r="23" spans="1:26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4"/>
      <c r="W23" s="84"/>
      <c r="X23" s="84"/>
      <c r="Y23" s="84"/>
      <c r="Z23" s="84"/>
    </row>
    <row r="24" spans="1:26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4" t="s">
        <v>19</v>
      </c>
      <c r="M24" s="84"/>
      <c r="N24" s="86"/>
      <c r="O24" s="86"/>
      <c r="P24" s="84" t="s">
        <v>48</v>
      </c>
      <c r="Q24" s="93">
        <v>1</v>
      </c>
      <c r="R24" s="86"/>
      <c r="S24" s="86"/>
      <c r="T24" s="86"/>
      <c r="U24" s="86"/>
      <c r="V24" s="84"/>
      <c r="W24" s="84"/>
      <c r="X24" s="84"/>
      <c r="Y24" s="84"/>
      <c r="Z24" s="84"/>
    </row>
    <row r="25" spans="1:26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>
        <f>SUM(P26,L26,H30,D22)</f>
        <v>0</v>
      </c>
      <c r="T25" s="86"/>
      <c r="U25" s="86"/>
      <c r="V25" s="84"/>
      <c r="W25" s="84"/>
      <c r="X25" s="84"/>
      <c r="Y25" s="84"/>
      <c r="Z25" s="84"/>
    </row>
    <row r="26" spans="1:26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5">
        <v>0</v>
      </c>
      <c r="M26" s="94">
        <f>IF(ABS(1-SUM(Q24))&lt;= 0.0001, SUM(Q26*Q24), NA())</f>
        <v>0</v>
      </c>
      <c r="N26" s="94"/>
      <c r="O26" s="94"/>
      <c r="P26" s="93">
        <v>0</v>
      </c>
      <c r="Q26" s="86">
        <f>S25</f>
        <v>0</v>
      </c>
      <c r="R26" s="86"/>
      <c r="S26" s="86"/>
      <c r="T26" s="86"/>
      <c r="U26" s="86"/>
      <c r="V26" s="84"/>
      <c r="W26" s="84"/>
      <c r="X26" s="84"/>
      <c r="Y26" s="84"/>
      <c r="Z26" s="84"/>
    </row>
    <row r="27" spans="1:26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4"/>
      <c r="W27" s="84"/>
      <c r="X27" s="84"/>
      <c r="Y27" s="84"/>
      <c r="Z27" s="84"/>
    </row>
    <row r="28" spans="1:26" x14ac:dyDescent="0.25">
      <c r="A28" s="86"/>
      <c r="B28" s="86"/>
      <c r="C28" s="86"/>
      <c r="D28" s="86"/>
      <c r="E28" s="86"/>
      <c r="F28" s="86"/>
      <c r="G28" s="86"/>
      <c r="H28" s="84" t="s">
        <v>7</v>
      </c>
      <c r="I28" s="87">
        <v>0.44</v>
      </c>
      <c r="J28" s="86"/>
      <c r="K28" s="86"/>
      <c r="L28" s="86"/>
      <c r="M28" s="86"/>
      <c r="N28" s="86"/>
      <c r="O28" s="86"/>
      <c r="P28" s="84" t="s">
        <v>3</v>
      </c>
      <c r="Q28" s="92">
        <f>'Qc-Calculs'!F21</f>
        <v>0.34090909090909094</v>
      </c>
      <c r="R28" s="86"/>
      <c r="S28" s="86"/>
      <c r="T28" s="86"/>
      <c r="U28" s="86"/>
      <c r="V28" s="84"/>
      <c r="W28" s="84"/>
      <c r="X28" s="84"/>
      <c r="Y28" s="84"/>
      <c r="Z28" s="84"/>
    </row>
    <row r="29" spans="1:26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>
        <f>IF(I30=M26,1,IF(I30=M34, 2))</f>
        <v>2</v>
      </c>
      <c r="K29" s="86"/>
      <c r="L29" s="86"/>
      <c r="M29" s="86"/>
      <c r="N29" s="86"/>
      <c r="O29" s="86"/>
      <c r="P29" s="86"/>
      <c r="Q29" s="86"/>
      <c r="R29" s="86"/>
      <c r="S29" s="86">
        <f>SUM(P30,L34,H30,D22)</f>
        <v>1550</v>
      </c>
      <c r="T29" s="86"/>
      <c r="U29" s="86"/>
      <c r="V29" s="84"/>
      <c r="W29" s="84"/>
      <c r="X29" s="84"/>
      <c r="Y29" s="84"/>
      <c r="Z29" s="84"/>
    </row>
    <row r="30" spans="1:26" x14ac:dyDescent="0.25">
      <c r="A30" s="86"/>
      <c r="B30" s="86"/>
      <c r="C30" s="86"/>
      <c r="D30" s="86"/>
      <c r="E30" s="86"/>
      <c r="F30" s="86"/>
      <c r="G30" s="86"/>
      <c r="H30" s="85">
        <v>0</v>
      </c>
      <c r="I30" s="89">
        <f>MAX(M26,M34)</f>
        <v>372.72727272727286</v>
      </c>
      <c r="J30" s="86"/>
      <c r="K30" s="86"/>
      <c r="L30" s="86"/>
      <c r="M30" s="86"/>
      <c r="N30" s="86"/>
      <c r="O30" s="86"/>
      <c r="P30" s="85">
        <v>2400</v>
      </c>
      <c r="Q30" s="86">
        <f>S29</f>
        <v>1550</v>
      </c>
      <c r="R30" s="86"/>
      <c r="S30" s="86"/>
      <c r="T30" s="86"/>
      <c r="U30" s="86"/>
      <c r="V30" s="84"/>
      <c r="W30" s="84"/>
      <c r="X30" s="84"/>
      <c r="Y30" s="84"/>
      <c r="Z30" s="84"/>
    </row>
    <row r="31" spans="1:26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4"/>
      <c r="W31" s="84"/>
      <c r="X31" s="84"/>
      <c r="Y31" s="84"/>
      <c r="Z31" s="84"/>
    </row>
    <row r="32" spans="1:26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4" t="s">
        <v>18</v>
      </c>
      <c r="M32" s="84"/>
      <c r="N32" s="86"/>
      <c r="O32" s="86"/>
      <c r="P32" s="84" t="s">
        <v>5</v>
      </c>
      <c r="Q32" s="92">
        <f>'Qc-Calculs'!G21</f>
        <v>0.34090909090909094</v>
      </c>
      <c r="R32" s="86"/>
      <c r="S32" s="86"/>
      <c r="T32" s="86"/>
      <c r="U32" s="86"/>
      <c r="V32" s="84"/>
      <c r="W32" s="84"/>
      <c r="X32" s="84"/>
      <c r="Y32" s="84"/>
      <c r="Z32" s="84"/>
    </row>
    <row r="33" spans="1:2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>
        <f>SUM(P34,L34,H30,D22)</f>
        <v>150</v>
      </c>
      <c r="T33" s="86"/>
      <c r="U33" s="86"/>
      <c r="V33" s="84"/>
      <c r="W33" s="84"/>
      <c r="X33" s="84"/>
      <c r="Y33" s="84"/>
      <c r="Z33" s="84"/>
    </row>
    <row r="34" spans="1:26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5">
        <v>-850</v>
      </c>
      <c r="M34" s="89">
        <f>IF(ABS(1-SUM(Q28,Q32,Q36))&lt;= 0.0001, SUM(Q30*Q28,Q34*Q32,Q38*Q36), NA())</f>
        <v>372.72727272727286</v>
      </c>
      <c r="N34" s="86"/>
      <c r="O34" s="86"/>
      <c r="P34" s="85">
        <v>1000</v>
      </c>
      <c r="Q34" s="86">
        <f>S33</f>
        <v>150</v>
      </c>
      <c r="R34" s="86"/>
      <c r="S34" s="86"/>
      <c r="T34" s="86"/>
      <c r="U34" s="86"/>
      <c r="V34" s="84"/>
      <c r="W34" s="84"/>
      <c r="X34" s="84"/>
      <c r="Y34" s="84"/>
      <c r="Z34" s="84"/>
    </row>
    <row r="35" spans="1:26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4"/>
      <c r="W35" s="84"/>
      <c r="X35" s="84"/>
      <c r="Y35" s="84"/>
      <c r="Z35" s="84"/>
    </row>
    <row r="36" spans="1:26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4" t="s">
        <v>4</v>
      </c>
      <c r="Q36" s="92">
        <f>1-Q28-Q32</f>
        <v>0.31818181818181812</v>
      </c>
      <c r="R36" s="86"/>
      <c r="S36" s="86"/>
      <c r="T36" s="86"/>
      <c r="U36" s="86"/>
      <c r="V36" s="84"/>
      <c r="W36" s="84"/>
      <c r="X36" s="84"/>
      <c r="Y36" s="84"/>
      <c r="Z36" s="84"/>
    </row>
    <row r="37" spans="1:26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>
        <f>SUM(P38,L34,H30,D22)</f>
        <v>-650</v>
      </c>
      <c r="T37" s="86"/>
      <c r="U37" s="86"/>
      <c r="V37" s="84"/>
      <c r="W37" s="84"/>
      <c r="X37" s="84"/>
      <c r="Y37" s="84"/>
      <c r="Z37" s="84"/>
    </row>
    <row r="38" spans="1:26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5">
        <v>200</v>
      </c>
      <c r="Q38" s="86">
        <f>S37</f>
        <v>-650</v>
      </c>
      <c r="R38" s="86"/>
      <c r="S38" s="86"/>
      <c r="T38" s="86"/>
      <c r="U38" s="86"/>
      <c r="V38" s="84"/>
      <c r="W38" s="84"/>
      <c r="X38" s="84"/>
      <c r="Y38" s="84"/>
      <c r="Z38" s="84"/>
    </row>
    <row r="39" spans="1:26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4"/>
      <c r="W39" s="84"/>
      <c r="X39" s="84"/>
      <c r="Y39" s="84"/>
      <c r="Z39" s="84"/>
    </row>
    <row r="40" spans="1:26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26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spans="1:26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spans="1:26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spans="1:26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spans="1:26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spans="1:26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spans="1:26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spans="1:26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spans="1:26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26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26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26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26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26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spans="1:26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spans="1:26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:26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spans="1:26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spans="1:26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spans="1:26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spans="1:26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spans="1:26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6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spans="1:26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spans="1:26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spans="1:26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spans="1:26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spans="1:26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spans="1:26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spans="1:26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spans="1:26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spans="1:26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spans="1:26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spans="1:26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spans="1:26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spans="1:26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spans="1:26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spans="1:26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spans="1:26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spans="1:26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:26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:26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:26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:26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spans="1:26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spans="1:26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:26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spans="1:26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spans="1:26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spans="1:26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spans="1:26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spans="1:26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spans="1:26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spans="1:26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spans="1:26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spans="1:26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spans="1:26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spans="1:26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spans="1:26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spans="1:26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spans="1:26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spans="1:26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spans="1:26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spans="1:26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spans="1:26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spans="1:26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spans="1:26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spans="1:26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spans="1:26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spans="1:26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spans="1:26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spans="1:26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spans="1:26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spans="1:26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spans="1:26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spans="1:26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spans="1:26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spans="1:26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spans="1:26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spans="1:26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spans="1:26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spans="1:26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spans="1:26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spans="1:26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spans="1:26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spans="1:26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spans="1:26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spans="1:26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spans="1:26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spans="1:26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spans="1:26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spans="1:26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spans="1:26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spans="1:26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spans="1:26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spans="1:26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spans="1:26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spans="1:26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spans="1:26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spans="1:26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spans="1:26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spans="1:26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spans="1:26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spans="1:26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spans="1:26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spans="1:26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spans="1:26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spans="1:26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spans="1:26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spans="1:26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spans="1:26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spans="1:26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spans="1:26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spans="1:26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spans="1:26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spans="1:26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spans="1:26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spans="1:26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spans="1:26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spans="1:26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spans="1:26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spans="1:26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spans="1:26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spans="1:26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spans="1:26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spans="1:26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spans="1:26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spans="1:26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spans="1:26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spans="1:26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spans="1:26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spans="1:26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spans="1:26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spans="1:26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spans="1:26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spans="1:26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spans="1:26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spans="1:26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spans="1:26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spans="1:26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spans="1:26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spans="1:26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spans="1:26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spans="1:26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spans="1:26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spans="1:26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spans="1:26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spans="1:26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spans="1:26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spans="1:26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spans="1:26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spans="1:26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spans="1:26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spans="1:26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spans="1:26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spans="1:26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1:26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1:26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spans="1:26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spans="1:26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spans="1:26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spans="1:26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spans="1:26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spans="1:26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spans="1:26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spans="1:26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spans="1:26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spans="1:26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spans="1:26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spans="1:26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spans="1:26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spans="1:26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spans="1:26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spans="1:26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spans="1:26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spans="1:26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spans="1:26" x14ac:dyDescent="0.2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spans="1:26" x14ac:dyDescent="0.2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spans="1:26" x14ac:dyDescent="0.2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spans="1:26" x14ac:dyDescent="0.2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spans="1:26" x14ac:dyDescent="0.2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spans="1:26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spans="1:26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spans="1:26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spans="1:26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spans="1:26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spans="1:26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spans="1:26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spans="1:26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spans="1:26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spans="1:26" x14ac:dyDescent="0.2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spans="1:26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spans="1:26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spans="1:26" x14ac:dyDescent="0.2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spans="1:26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spans="1:26" x14ac:dyDescent="0.2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spans="1:26" x14ac:dyDescent="0.2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spans="1:26" x14ac:dyDescent="0.2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spans="1:26" x14ac:dyDescent="0.2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spans="1:26" x14ac:dyDescent="0.2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spans="1:26" x14ac:dyDescent="0.2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spans="1:26" x14ac:dyDescent="0.2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spans="1:26" x14ac:dyDescent="0.2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spans="1:26" x14ac:dyDescent="0.2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spans="1:26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spans="1:26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spans="1:26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spans="1:26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spans="1:26" x14ac:dyDescent="0.2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spans="1:26" x14ac:dyDescent="0.2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spans="1:26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spans="1:26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spans="1:26" x14ac:dyDescent="0.2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spans="1:26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spans="1:26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spans="1:26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spans="1:26" x14ac:dyDescent="0.2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spans="1:26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spans="1:26" x14ac:dyDescent="0.2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spans="1:26" x14ac:dyDescent="0.2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spans="1:26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spans="1:26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spans="1:26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spans="1:26" x14ac:dyDescent="0.2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spans="1:26" x14ac:dyDescent="0.2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spans="1:26" x14ac:dyDescent="0.2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spans="1:26" x14ac:dyDescent="0.2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spans="1:26" x14ac:dyDescent="0.2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spans="1:26" x14ac:dyDescent="0.2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spans="1:26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spans="1:26" x14ac:dyDescent="0.2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spans="1:26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spans="1:26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spans="1:26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spans="1:26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spans="1:26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spans="1:26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spans="1:26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spans="1:26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spans="1:26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spans="1:26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spans="1:26" x14ac:dyDescent="0.2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spans="1:26" x14ac:dyDescent="0.2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spans="1:26" x14ac:dyDescent="0.2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spans="1:26" x14ac:dyDescent="0.2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spans="1:26" x14ac:dyDescent="0.2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spans="1:26" x14ac:dyDescent="0.2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spans="1:26" x14ac:dyDescent="0.2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spans="1:26" x14ac:dyDescent="0.2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spans="1:26" x14ac:dyDescent="0.2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spans="1:26" x14ac:dyDescent="0.2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spans="1:26" x14ac:dyDescent="0.2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spans="1:26" x14ac:dyDescent="0.2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spans="1:26" x14ac:dyDescent="0.2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spans="1:26" x14ac:dyDescent="0.2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spans="1:26" x14ac:dyDescent="0.2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spans="1:26" x14ac:dyDescent="0.2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spans="1:26" x14ac:dyDescent="0.2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spans="1:26" x14ac:dyDescent="0.2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spans="1:26" x14ac:dyDescent="0.2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spans="1:26" x14ac:dyDescent="0.2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spans="1:26" x14ac:dyDescent="0.2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spans="1:26" x14ac:dyDescent="0.2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spans="1:26" x14ac:dyDescent="0.2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spans="1:26" x14ac:dyDescent="0.2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spans="1:26" x14ac:dyDescent="0.2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spans="1:26" x14ac:dyDescent="0.2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spans="1:26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spans="1:26" x14ac:dyDescent="0.2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spans="1:26" x14ac:dyDescent="0.2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spans="1:26" x14ac:dyDescent="0.2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spans="1:26" x14ac:dyDescent="0.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spans="1:26" x14ac:dyDescent="0.2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spans="1:26" x14ac:dyDescent="0.2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spans="1:26" x14ac:dyDescent="0.2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spans="1:26" x14ac:dyDescent="0.2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spans="1:26" x14ac:dyDescent="0.2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spans="1:26" x14ac:dyDescent="0.2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spans="1:26" x14ac:dyDescent="0.2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spans="1:26" x14ac:dyDescent="0.2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spans="1:26" x14ac:dyDescent="0.2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spans="1:26" x14ac:dyDescent="0.2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spans="1:26" x14ac:dyDescent="0.2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spans="1:26" x14ac:dyDescent="0.2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spans="1:26" x14ac:dyDescent="0.2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spans="1:26" x14ac:dyDescent="0.2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spans="1:26" x14ac:dyDescent="0.2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spans="1:26" x14ac:dyDescent="0.2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spans="1:26" x14ac:dyDescent="0.2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spans="1:26" x14ac:dyDescent="0.2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spans="1:26" x14ac:dyDescent="0.2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spans="1:26" x14ac:dyDescent="0.2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spans="1:26" x14ac:dyDescent="0.2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spans="1:26" x14ac:dyDescent="0.2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spans="1:26" x14ac:dyDescent="0.2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spans="1:26" x14ac:dyDescent="0.2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spans="1:26" x14ac:dyDescent="0.2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spans="1:26" x14ac:dyDescent="0.2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spans="1:26" x14ac:dyDescent="0.2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spans="1:26" x14ac:dyDescent="0.2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spans="1:26" x14ac:dyDescent="0.2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spans="1:26" x14ac:dyDescent="0.2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spans="1:26" x14ac:dyDescent="0.2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spans="1:26" x14ac:dyDescent="0.2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spans="1:26" x14ac:dyDescent="0.2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spans="1:26" x14ac:dyDescent="0.2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spans="1:26" x14ac:dyDescent="0.2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spans="1:26" x14ac:dyDescent="0.2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spans="1:26" x14ac:dyDescent="0.2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spans="1:26" x14ac:dyDescent="0.2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spans="1:26" x14ac:dyDescent="0.2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spans="1:26" x14ac:dyDescent="0.2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spans="1:26" x14ac:dyDescent="0.2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spans="1:26" x14ac:dyDescent="0.2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spans="1:26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spans="1:26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spans="1:26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spans="1:26" x14ac:dyDescent="0.2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spans="1:26" x14ac:dyDescent="0.2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spans="1:26" x14ac:dyDescent="0.2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spans="1:26" x14ac:dyDescent="0.2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spans="1:26" x14ac:dyDescent="0.2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spans="1:26" x14ac:dyDescent="0.2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spans="1:26" x14ac:dyDescent="0.2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spans="1:26" x14ac:dyDescent="0.2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spans="1:26" x14ac:dyDescent="0.2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spans="1:26" x14ac:dyDescent="0.2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spans="1:26" x14ac:dyDescent="0.2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26" x14ac:dyDescent="0.2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spans="1:26" x14ac:dyDescent="0.2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spans="1:26" x14ac:dyDescent="0.2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spans="1:26" x14ac:dyDescent="0.2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spans="1:26" x14ac:dyDescent="0.2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spans="1:26" x14ac:dyDescent="0.2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spans="1:26" x14ac:dyDescent="0.2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spans="1:26" x14ac:dyDescent="0.2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spans="1:26" x14ac:dyDescent="0.2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spans="1:26" x14ac:dyDescent="0.2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spans="1:26" x14ac:dyDescent="0.2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spans="1:26" x14ac:dyDescent="0.2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spans="1:26" x14ac:dyDescent="0.2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spans="1:26" x14ac:dyDescent="0.2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spans="1:26" x14ac:dyDescent="0.2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spans="1:26" x14ac:dyDescent="0.2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spans="1:26" x14ac:dyDescent="0.2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spans="1:26" x14ac:dyDescent="0.2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spans="1:26" x14ac:dyDescent="0.2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spans="1:26" x14ac:dyDescent="0.2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spans="1:26" x14ac:dyDescent="0.2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spans="1:26" x14ac:dyDescent="0.2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spans="1:26" x14ac:dyDescent="0.2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spans="1:26" x14ac:dyDescent="0.2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spans="1:26" x14ac:dyDescent="0.2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spans="1:26" x14ac:dyDescent="0.2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spans="1:26" x14ac:dyDescent="0.2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spans="1:26" x14ac:dyDescent="0.2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spans="1:26" x14ac:dyDescent="0.2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spans="1:26" x14ac:dyDescent="0.2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spans="1:26" x14ac:dyDescent="0.2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spans="1:26" x14ac:dyDescent="0.2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spans="1:26" x14ac:dyDescent="0.2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spans="1:26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spans="1:26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spans="1:26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spans="1:26" x14ac:dyDescent="0.2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spans="1:26" x14ac:dyDescent="0.2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spans="1:26" x14ac:dyDescent="0.2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spans="1:26" x14ac:dyDescent="0.2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spans="1:26" x14ac:dyDescent="0.2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spans="1:26" x14ac:dyDescent="0.2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spans="1:26" x14ac:dyDescent="0.2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spans="1:26" x14ac:dyDescent="0.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spans="1:26" x14ac:dyDescent="0.2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spans="1:26" x14ac:dyDescent="0.2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spans="1:26" x14ac:dyDescent="0.2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spans="1:26" x14ac:dyDescent="0.2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spans="1:26" x14ac:dyDescent="0.2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spans="1:26" x14ac:dyDescent="0.2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spans="1:26" x14ac:dyDescent="0.2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spans="1:26" x14ac:dyDescent="0.2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spans="1:26" x14ac:dyDescent="0.2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spans="1:26" x14ac:dyDescent="0.2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spans="1:26" x14ac:dyDescent="0.2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spans="1:26" x14ac:dyDescent="0.2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spans="1:26" x14ac:dyDescent="0.2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spans="1:26" x14ac:dyDescent="0.2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spans="1:26" x14ac:dyDescent="0.2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spans="1:26" x14ac:dyDescent="0.2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spans="1:26" x14ac:dyDescent="0.2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spans="1:26" x14ac:dyDescent="0.2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spans="1:26" x14ac:dyDescent="0.2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spans="1:26" x14ac:dyDescent="0.2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spans="1:26" x14ac:dyDescent="0.2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spans="1:26" x14ac:dyDescent="0.2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spans="1:26" x14ac:dyDescent="0.2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spans="1:26" x14ac:dyDescent="0.2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spans="1:26" x14ac:dyDescent="0.2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spans="1:26" x14ac:dyDescent="0.2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spans="1:26" x14ac:dyDescent="0.2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spans="1:26" x14ac:dyDescent="0.2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spans="1:26" x14ac:dyDescent="0.2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spans="1:26" x14ac:dyDescent="0.2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spans="1:26" x14ac:dyDescent="0.2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spans="1:26" x14ac:dyDescent="0.2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spans="1:26" x14ac:dyDescent="0.2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spans="1:26" x14ac:dyDescent="0.2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spans="1:26" x14ac:dyDescent="0.2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spans="1:26" x14ac:dyDescent="0.2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spans="1:26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spans="1:26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spans="1:26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spans="1:26" x14ac:dyDescent="0.2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spans="1:26" x14ac:dyDescent="0.2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spans="1:26" x14ac:dyDescent="0.2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spans="1:26" x14ac:dyDescent="0.2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spans="1:26" x14ac:dyDescent="0.2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spans="1:26" x14ac:dyDescent="0.2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spans="1:26" x14ac:dyDescent="0.2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spans="1:26" x14ac:dyDescent="0.2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spans="1:26" x14ac:dyDescent="0.2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spans="1:26" x14ac:dyDescent="0.2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spans="1:26" x14ac:dyDescent="0.2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spans="1:26" x14ac:dyDescent="0.2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spans="1:26" x14ac:dyDescent="0.2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spans="1:26" x14ac:dyDescent="0.2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spans="1:26" x14ac:dyDescent="0.2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spans="1:26" x14ac:dyDescent="0.2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spans="1:26" x14ac:dyDescent="0.2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spans="1:26" x14ac:dyDescent="0.2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spans="1:26" x14ac:dyDescent="0.2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spans="1:26" x14ac:dyDescent="0.2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spans="1:26" x14ac:dyDescent="0.2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spans="1:26" x14ac:dyDescent="0.2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spans="1:26" x14ac:dyDescent="0.2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spans="1:26" x14ac:dyDescent="0.2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spans="1:26" x14ac:dyDescent="0.2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spans="1:26" x14ac:dyDescent="0.2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spans="1:26" x14ac:dyDescent="0.2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spans="1:26" x14ac:dyDescent="0.2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spans="1:26" x14ac:dyDescent="0.2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spans="1:26" x14ac:dyDescent="0.2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spans="1:26" x14ac:dyDescent="0.2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spans="1:26" x14ac:dyDescent="0.2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spans="1:26" x14ac:dyDescent="0.2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spans="1:26" x14ac:dyDescent="0.2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spans="1:26" x14ac:dyDescent="0.2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spans="1:26" x14ac:dyDescent="0.2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</sheetData>
  <sheetProtection password="DF3B" sheet="1" objects="1" scenarios="1" formatCells="0" formatColumns="0" formatRow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Données</vt:lpstr>
      <vt:lpstr>Qa</vt:lpstr>
      <vt:lpstr>Qb-Calculs</vt:lpstr>
      <vt:lpstr>Qb-Arbre</vt:lpstr>
      <vt:lpstr>Qc-Calculs</vt:lpstr>
      <vt:lpstr>Qc-Arbre</vt:lpstr>
      <vt:lpstr>Fr</vt:lpstr>
      <vt:lpstr>PbF</vt:lpstr>
      <vt:lpstr>PbM</vt:lpstr>
      <vt:lpstr>PbS</vt:lpstr>
      <vt:lpstr>RF</vt:lpstr>
      <vt:lpstr>RM</vt:lpstr>
      <vt:lpstr>RS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MOG9-11.xlsx</dc:title>
  <dc:subject>L’impresario</dc:subject>
  <dc:creator>Nobert, Ouellet, Parent</dc:creator>
  <dc:description>Méthodes d'optimisation pour la gestion,
Nobert, Ouellet, Parent,
Cheneliere, 2016,
chapitre 9, problème 11</dc:description>
  <cp:lastModifiedBy>Roch Ouellet</cp:lastModifiedBy>
  <dcterms:created xsi:type="dcterms:W3CDTF">2008-02-08T03:58:50Z</dcterms:created>
  <dcterms:modified xsi:type="dcterms:W3CDTF">2015-11-25T19:58:36Z</dcterms:modified>
</cp:coreProperties>
</file>